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Downloads\"/>
    </mc:Choice>
  </mc:AlternateContent>
  <bookViews>
    <workbookView xWindow="0" yWindow="0" windowWidth="21570" windowHeight="8955"/>
  </bookViews>
  <sheets>
    <sheet name="Sheet1" sheetId="1" r:id="rId1"/>
  </sheets>
  <definedNames>
    <definedName name="_xlnm._FilterDatabase" localSheetId="0" hidden="1">Sheet1!$A$1:$L$743</definedName>
    <definedName name="_xlnm.Print_Area" localSheetId="0">Sheet1!$A$1:$L$743</definedName>
    <definedName name="_xlnm.Print_Titles" localSheetId="0">Sheet1!$1:$1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 i="1" l="1"/>
  <c r="Q3" i="1" s="1"/>
  <c r="O4" i="1"/>
  <c r="Q4" i="1" s="1"/>
  <c r="O5" i="1"/>
  <c r="Q5" i="1" s="1"/>
  <c r="O6" i="1"/>
  <c r="Q6" i="1" s="1"/>
  <c r="O7" i="1"/>
  <c r="Q7" i="1" s="1"/>
  <c r="O8" i="1"/>
  <c r="Q8" i="1" s="1"/>
  <c r="O9" i="1"/>
  <c r="Q9" i="1" s="1"/>
  <c r="O10" i="1"/>
  <c r="Q10" i="1" s="1"/>
  <c r="O11" i="1"/>
  <c r="Q11" i="1" s="1"/>
  <c r="O12" i="1"/>
  <c r="Q12" i="1" s="1"/>
  <c r="O13" i="1"/>
  <c r="Q13" i="1" s="1"/>
  <c r="O14" i="1"/>
  <c r="Q14" i="1" s="1"/>
  <c r="O15" i="1"/>
  <c r="Q15" i="1" s="1"/>
  <c r="O16" i="1"/>
  <c r="Q16" i="1" s="1"/>
  <c r="O17" i="1"/>
  <c r="Q17" i="1" s="1"/>
  <c r="O18" i="1"/>
  <c r="Q18" i="1" s="1"/>
  <c r="O19" i="1"/>
  <c r="Q19" i="1" s="1"/>
  <c r="O20" i="1"/>
  <c r="Q20" i="1" s="1"/>
  <c r="O21" i="1"/>
  <c r="Q21" i="1" s="1"/>
  <c r="O22" i="1"/>
  <c r="Q22" i="1" s="1"/>
  <c r="O23" i="1"/>
  <c r="Q23" i="1" s="1"/>
  <c r="O24" i="1"/>
  <c r="Q24" i="1" s="1"/>
  <c r="O25" i="1"/>
  <c r="Q25" i="1" s="1"/>
  <c r="O26" i="1"/>
  <c r="Q26" i="1" s="1"/>
  <c r="O27" i="1"/>
  <c r="Q27" i="1" s="1"/>
  <c r="O28" i="1"/>
  <c r="Q28" i="1" s="1"/>
  <c r="O29" i="1"/>
  <c r="Q29" i="1" s="1"/>
  <c r="O30" i="1"/>
  <c r="Q30" i="1" s="1"/>
  <c r="O31" i="1"/>
  <c r="Q31" i="1" s="1"/>
  <c r="O32" i="1"/>
  <c r="Q32" i="1" s="1"/>
  <c r="O33" i="1"/>
  <c r="Q33" i="1" s="1"/>
  <c r="O34" i="1"/>
  <c r="Q34" i="1" s="1"/>
  <c r="O35" i="1"/>
  <c r="Q35" i="1" s="1"/>
  <c r="O36" i="1"/>
  <c r="Q36" i="1" s="1"/>
  <c r="O37" i="1"/>
  <c r="Q37" i="1" s="1"/>
  <c r="O38" i="1"/>
  <c r="Q38" i="1" s="1"/>
  <c r="O39" i="1"/>
  <c r="Q39" i="1" s="1"/>
  <c r="O40" i="1"/>
  <c r="Q40" i="1" s="1"/>
  <c r="O41" i="1"/>
  <c r="Q41" i="1" s="1"/>
  <c r="O42" i="1"/>
  <c r="Q42" i="1" s="1"/>
  <c r="O43" i="1"/>
  <c r="Q43" i="1" s="1"/>
  <c r="O44" i="1"/>
  <c r="Q44" i="1" s="1"/>
  <c r="O45" i="1"/>
  <c r="Q45" i="1" s="1"/>
  <c r="O46" i="1"/>
  <c r="Q46" i="1" s="1"/>
  <c r="O47" i="1"/>
  <c r="Q47" i="1" s="1"/>
  <c r="O48" i="1"/>
  <c r="Q48" i="1" s="1"/>
  <c r="O49" i="1"/>
  <c r="Q49" i="1" s="1"/>
  <c r="O50" i="1"/>
  <c r="Q50" i="1" s="1"/>
  <c r="O51" i="1"/>
  <c r="Q51" i="1" s="1"/>
  <c r="O52" i="1"/>
  <c r="Q52" i="1" s="1"/>
  <c r="O53" i="1"/>
  <c r="Q53" i="1" s="1"/>
  <c r="O54" i="1"/>
  <c r="Q54" i="1" s="1"/>
  <c r="O55" i="1"/>
  <c r="Q55" i="1" s="1"/>
  <c r="O56" i="1"/>
  <c r="Q56" i="1" s="1"/>
  <c r="O57" i="1"/>
  <c r="Q57" i="1" s="1"/>
  <c r="O58" i="1"/>
  <c r="Q58" i="1" s="1"/>
  <c r="O59" i="1"/>
  <c r="Q59" i="1" s="1"/>
  <c r="O60" i="1"/>
  <c r="Q60" i="1" s="1"/>
  <c r="O61" i="1"/>
  <c r="Q61" i="1" s="1"/>
  <c r="O62" i="1"/>
  <c r="Q62" i="1" s="1"/>
  <c r="O63" i="1"/>
  <c r="Q63" i="1" s="1"/>
  <c r="O64" i="1"/>
  <c r="Q64" i="1" s="1"/>
  <c r="O65" i="1"/>
  <c r="Q65" i="1" s="1"/>
  <c r="O66" i="1"/>
  <c r="Q66" i="1" s="1"/>
  <c r="O67" i="1"/>
  <c r="Q67" i="1" s="1"/>
  <c r="O68" i="1"/>
  <c r="Q68" i="1" s="1"/>
  <c r="O69" i="1"/>
  <c r="Q69" i="1" s="1"/>
  <c r="O70" i="1"/>
  <c r="Q70" i="1" s="1"/>
  <c r="O71" i="1"/>
  <c r="Q71" i="1" s="1"/>
  <c r="O72" i="1"/>
  <c r="Q72" i="1" s="1"/>
  <c r="O73" i="1"/>
  <c r="Q73" i="1" s="1"/>
  <c r="O74" i="1"/>
  <c r="Q74" i="1" s="1"/>
  <c r="O75" i="1"/>
  <c r="Q75" i="1" s="1"/>
  <c r="O76" i="1"/>
  <c r="Q76" i="1" s="1"/>
  <c r="O77" i="1"/>
  <c r="Q77" i="1" s="1"/>
  <c r="O78" i="1"/>
  <c r="Q78" i="1" s="1"/>
  <c r="O79" i="1"/>
  <c r="Q79" i="1" s="1"/>
  <c r="O80" i="1"/>
  <c r="Q80" i="1" s="1"/>
  <c r="O81" i="1"/>
  <c r="Q81" i="1" s="1"/>
  <c r="O82" i="1"/>
  <c r="Q82" i="1" s="1"/>
  <c r="O83" i="1"/>
  <c r="Q83" i="1" s="1"/>
  <c r="O84" i="1"/>
  <c r="Q84" i="1" s="1"/>
  <c r="O85" i="1"/>
  <c r="Q85" i="1" s="1"/>
  <c r="O86" i="1"/>
  <c r="Q86" i="1" s="1"/>
  <c r="O87" i="1"/>
  <c r="Q87" i="1" s="1"/>
  <c r="O88" i="1"/>
  <c r="Q88" i="1" s="1"/>
  <c r="O89" i="1"/>
  <c r="Q89" i="1" s="1"/>
  <c r="O90" i="1"/>
  <c r="Q90" i="1" s="1"/>
  <c r="O91" i="1"/>
  <c r="Q91" i="1" s="1"/>
  <c r="O92" i="1"/>
  <c r="Q92" i="1" s="1"/>
  <c r="O93" i="1"/>
  <c r="Q93" i="1" s="1"/>
  <c r="O94" i="1"/>
  <c r="Q94" i="1" s="1"/>
  <c r="O95" i="1"/>
  <c r="Q95" i="1" s="1"/>
  <c r="O96" i="1"/>
  <c r="Q96" i="1" s="1"/>
  <c r="O97" i="1"/>
  <c r="Q97" i="1" s="1"/>
  <c r="O98" i="1"/>
  <c r="Q98" i="1" s="1"/>
  <c r="O99" i="1"/>
  <c r="Q99" i="1" s="1"/>
  <c r="O100" i="1"/>
  <c r="Q100" i="1" s="1"/>
  <c r="O101" i="1"/>
  <c r="Q101" i="1" s="1"/>
  <c r="O102" i="1"/>
  <c r="Q102" i="1" s="1"/>
  <c r="O103" i="1"/>
  <c r="Q103" i="1" s="1"/>
  <c r="O104" i="1"/>
  <c r="Q104" i="1" s="1"/>
  <c r="O105" i="1"/>
  <c r="Q105" i="1" s="1"/>
  <c r="O106" i="1"/>
  <c r="Q106" i="1" s="1"/>
  <c r="O107" i="1"/>
  <c r="Q107" i="1" s="1"/>
  <c r="O108" i="1"/>
  <c r="Q108" i="1" s="1"/>
  <c r="O109" i="1"/>
  <c r="Q109" i="1" s="1"/>
  <c r="O110" i="1"/>
  <c r="Q110" i="1" s="1"/>
  <c r="O111" i="1"/>
  <c r="Q111" i="1" s="1"/>
  <c r="O112" i="1"/>
  <c r="Q112" i="1" s="1"/>
  <c r="O113" i="1"/>
  <c r="Q113" i="1" s="1"/>
  <c r="O114" i="1"/>
  <c r="Q114" i="1" s="1"/>
  <c r="O115" i="1"/>
  <c r="Q115" i="1" s="1"/>
  <c r="O116" i="1"/>
  <c r="Q116" i="1" s="1"/>
  <c r="O117" i="1"/>
  <c r="Q117" i="1" s="1"/>
  <c r="O118" i="1"/>
  <c r="Q118" i="1" s="1"/>
  <c r="O119" i="1"/>
  <c r="Q119" i="1" s="1"/>
  <c r="O120" i="1"/>
  <c r="Q120" i="1" s="1"/>
  <c r="O121" i="1"/>
  <c r="Q121" i="1" s="1"/>
  <c r="O122" i="1"/>
  <c r="Q122" i="1" s="1"/>
  <c r="O123" i="1"/>
  <c r="Q123" i="1" s="1"/>
  <c r="O124" i="1"/>
  <c r="Q124" i="1" s="1"/>
  <c r="O125" i="1"/>
  <c r="Q125" i="1" s="1"/>
  <c r="O126" i="1"/>
  <c r="Q126" i="1" s="1"/>
  <c r="O127" i="1"/>
  <c r="Q127" i="1" s="1"/>
  <c r="O128" i="1"/>
  <c r="Q128" i="1" s="1"/>
  <c r="O129" i="1"/>
  <c r="Q129" i="1" s="1"/>
  <c r="O130" i="1"/>
  <c r="Q130" i="1" s="1"/>
  <c r="O131" i="1"/>
  <c r="Q131" i="1" s="1"/>
  <c r="O132" i="1"/>
  <c r="Q132" i="1" s="1"/>
  <c r="O133" i="1"/>
  <c r="Q133" i="1" s="1"/>
  <c r="O134" i="1"/>
  <c r="Q134" i="1" s="1"/>
  <c r="O135" i="1"/>
  <c r="Q135" i="1" s="1"/>
  <c r="O136" i="1"/>
  <c r="Q136" i="1" s="1"/>
  <c r="O137" i="1"/>
  <c r="Q137" i="1" s="1"/>
  <c r="O138" i="1"/>
  <c r="Q138" i="1" s="1"/>
  <c r="O139" i="1"/>
  <c r="Q139" i="1" s="1"/>
  <c r="O140" i="1"/>
  <c r="Q140" i="1" s="1"/>
  <c r="O141" i="1"/>
  <c r="Q141" i="1" s="1"/>
  <c r="O142" i="1"/>
  <c r="Q142" i="1" s="1"/>
  <c r="O143" i="1"/>
  <c r="Q143" i="1" s="1"/>
  <c r="O144" i="1"/>
  <c r="Q144" i="1" s="1"/>
  <c r="O145" i="1"/>
  <c r="Q145" i="1" s="1"/>
  <c r="O146" i="1"/>
  <c r="Q146" i="1" s="1"/>
  <c r="O147" i="1"/>
  <c r="Q147" i="1" s="1"/>
  <c r="O148" i="1"/>
  <c r="Q148" i="1" s="1"/>
  <c r="O149" i="1"/>
  <c r="Q149" i="1" s="1"/>
  <c r="O150" i="1"/>
  <c r="Q150" i="1" s="1"/>
  <c r="O151" i="1"/>
  <c r="Q151" i="1" s="1"/>
  <c r="O152" i="1"/>
  <c r="Q152" i="1" s="1"/>
  <c r="O153" i="1"/>
  <c r="Q153" i="1" s="1"/>
  <c r="O154" i="1"/>
  <c r="Q154" i="1" s="1"/>
  <c r="O155" i="1"/>
  <c r="Q155" i="1" s="1"/>
  <c r="O156" i="1"/>
  <c r="Q156" i="1" s="1"/>
  <c r="O157" i="1"/>
  <c r="Q157" i="1" s="1"/>
  <c r="O158" i="1"/>
  <c r="Q158" i="1" s="1"/>
  <c r="O159" i="1"/>
  <c r="Q159" i="1" s="1"/>
  <c r="O160" i="1"/>
  <c r="Q160" i="1" s="1"/>
  <c r="O161" i="1"/>
  <c r="Q161" i="1" s="1"/>
  <c r="O162" i="1"/>
  <c r="Q162" i="1" s="1"/>
  <c r="O163" i="1"/>
  <c r="Q163" i="1" s="1"/>
  <c r="O164" i="1"/>
  <c r="Q164" i="1" s="1"/>
  <c r="O165" i="1"/>
  <c r="Q165" i="1" s="1"/>
  <c r="O166" i="1"/>
  <c r="Q166" i="1" s="1"/>
  <c r="O167" i="1"/>
  <c r="Q167" i="1" s="1"/>
  <c r="O168" i="1"/>
  <c r="Q168" i="1" s="1"/>
  <c r="O169" i="1"/>
  <c r="Q169" i="1" s="1"/>
  <c r="O170" i="1"/>
  <c r="Q170" i="1" s="1"/>
  <c r="O171" i="1"/>
  <c r="Q171" i="1" s="1"/>
  <c r="O172" i="1"/>
  <c r="Q172" i="1" s="1"/>
  <c r="O173" i="1"/>
  <c r="Q173" i="1" s="1"/>
  <c r="O174" i="1"/>
  <c r="Q174" i="1" s="1"/>
  <c r="O175" i="1"/>
  <c r="Q175" i="1" s="1"/>
  <c r="O176" i="1"/>
  <c r="Q176" i="1" s="1"/>
  <c r="O177" i="1"/>
  <c r="Q177" i="1" s="1"/>
  <c r="O178" i="1"/>
  <c r="Q178" i="1" s="1"/>
  <c r="O179" i="1"/>
  <c r="Q179" i="1" s="1"/>
  <c r="O180" i="1"/>
  <c r="Q180" i="1" s="1"/>
  <c r="O181" i="1"/>
  <c r="Q181" i="1" s="1"/>
  <c r="O182" i="1"/>
  <c r="Q182" i="1" s="1"/>
  <c r="O183" i="1"/>
  <c r="Q183" i="1" s="1"/>
  <c r="O184" i="1"/>
  <c r="Q184" i="1" s="1"/>
  <c r="O185" i="1"/>
  <c r="Q185" i="1" s="1"/>
  <c r="O186" i="1"/>
  <c r="Q186" i="1" s="1"/>
  <c r="O187" i="1"/>
  <c r="Q187" i="1" s="1"/>
  <c r="O188" i="1"/>
  <c r="Q188" i="1" s="1"/>
  <c r="O189" i="1"/>
  <c r="Q189" i="1" s="1"/>
  <c r="O190" i="1"/>
  <c r="Q190" i="1" s="1"/>
  <c r="O191" i="1"/>
  <c r="Q191" i="1" s="1"/>
  <c r="O192" i="1"/>
  <c r="Q192" i="1" s="1"/>
  <c r="O193" i="1"/>
  <c r="Q193" i="1" s="1"/>
  <c r="O194" i="1"/>
  <c r="Q194" i="1" s="1"/>
  <c r="O195" i="1"/>
  <c r="Q195" i="1" s="1"/>
  <c r="O196" i="1"/>
  <c r="Q196" i="1" s="1"/>
  <c r="O197" i="1"/>
  <c r="Q197" i="1" s="1"/>
  <c r="O198" i="1"/>
  <c r="Q198" i="1" s="1"/>
  <c r="O199" i="1"/>
  <c r="Q199" i="1" s="1"/>
  <c r="O200" i="1"/>
  <c r="Q200" i="1" s="1"/>
  <c r="O201" i="1"/>
  <c r="Q201" i="1" s="1"/>
  <c r="O202" i="1"/>
  <c r="Q202" i="1" s="1"/>
  <c r="O203" i="1"/>
  <c r="Q203" i="1" s="1"/>
  <c r="O204" i="1"/>
  <c r="Q204" i="1" s="1"/>
  <c r="O205" i="1"/>
  <c r="Q205" i="1" s="1"/>
  <c r="O206" i="1"/>
  <c r="Q206" i="1" s="1"/>
  <c r="O207" i="1"/>
  <c r="Q207" i="1" s="1"/>
  <c r="O208" i="1"/>
  <c r="Q208" i="1" s="1"/>
  <c r="O209" i="1"/>
  <c r="Q209" i="1" s="1"/>
  <c r="O210" i="1"/>
  <c r="Q210" i="1" s="1"/>
  <c r="O211" i="1"/>
  <c r="Q211" i="1" s="1"/>
  <c r="O212" i="1"/>
  <c r="Q212" i="1" s="1"/>
  <c r="O213" i="1"/>
  <c r="Q213" i="1" s="1"/>
  <c r="O214" i="1"/>
  <c r="Q214" i="1" s="1"/>
  <c r="O215" i="1"/>
  <c r="Q215" i="1" s="1"/>
  <c r="O216" i="1"/>
  <c r="Q216" i="1" s="1"/>
  <c r="O217" i="1"/>
  <c r="Q217" i="1" s="1"/>
  <c r="O218" i="1"/>
  <c r="Q218" i="1" s="1"/>
  <c r="O219" i="1"/>
  <c r="Q219" i="1" s="1"/>
  <c r="O220" i="1"/>
  <c r="Q220" i="1" s="1"/>
  <c r="O221" i="1"/>
  <c r="Q221" i="1" s="1"/>
  <c r="O222" i="1"/>
  <c r="Q222" i="1" s="1"/>
  <c r="O223" i="1"/>
  <c r="Q223" i="1" s="1"/>
  <c r="O224" i="1"/>
  <c r="Q224" i="1" s="1"/>
  <c r="O225" i="1"/>
  <c r="Q225" i="1" s="1"/>
  <c r="O226" i="1"/>
  <c r="Q226" i="1" s="1"/>
  <c r="O227" i="1"/>
  <c r="Q227" i="1" s="1"/>
  <c r="O228" i="1"/>
  <c r="Q228" i="1" s="1"/>
  <c r="O229" i="1"/>
  <c r="Q229" i="1" s="1"/>
  <c r="O230" i="1"/>
  <c r="Q230" i="1" s="1"/>
  <c r="O231" i="1"/>
  <c r="Q231" i="1" s="1"/>
  <c r="O232" i="1"/>
  <c r="Q232" i="1" s="1"/>
  <c r="O233" i="1"/>
  <c r="Q233" i="1" s="1"/>
  <c r="O234" i="1"/>
  <c r="Q234" i="1" s="1"/>
  <c r="O235" i="1"/>
  <c r="Q235" i="1" s="1"/>
  <c r="O236" i="1"/>
  <c r="Q236" i="1" s="1"/>
  <c r="O237" i="1"/>
  <c r="Q237" i="1" s="1"/>
  <c r="O238" i="1"/>
  <c r="Q238" i="1" s="1"/>
  <c r="O239" i="1"/>
  <c r="Q239" i="1" s="1"/>
  <c r="O240" i="1"/>
  <c r="Q240" i="1" s="1"/>
  <c r="O241" i="1"/>
  <c r="Q241" i="1" s="1"/>
  <c r="O242" i="1"/>
  <c r="Q242" i="1" s="1"/>
  <c r="O243" i="1"/>
  <c r="Q243" i="1" s="1"/>
  <c r="O244" i="1"/>
  <c r="Q244" i="1" s="1"/>
  <c r="O245" i="1"/>
  <c r="Q245" i="1" s="1"/>
  <c r="O246" i="1"/>
  <c r="Q246" i="1" s="1"/>
  <c r="O247" i="1"/>
  <c r="Q247" i="1" s="1"/>
  <c r="O248" i="1"/>
  <c r="Q248" i="1" s="1"/>
  <c r="O249" i="1"/>
  <c r="Q249" i="1" s="1"/>
  <c r="O250" i="1"/>
  <c r="Q250" i="1" s="1"/>
  <c r="O251" i="1"/>
  <c r="Q251" i="1" s="1"/>
  <c r="O252" i="1"/>
  <c r="Q252" i="1" s="1"/>
  <c r="O253" i="1"/>
  <c r="Q253" i="1" s="1"/>
  <c r="O254" i="1"/>
  <c r="Q254" i="1" s="1"/>
  <c r="O255" i="1"/>
  <c r="Q255" i="1" s="1"/>
  <c r="O256" i="1"/>
  <c r="Q256" i="1" s="1"/>
  <c r="O257" i="1"/>
  <c r="Q257" i="1" s="1"/>
  <c r="O258" i="1"/>
  <c r="Q258" i="1" s="1"/>
  <c r="O259" i="1"/>
  <c r="Q259" i="1" s="1"/>
  <c r="O260" i="1"/>
  <c r="Q260" i="1" s="1"/>
  <c r="O261" i="1"/>
  <c r="Q261" i="1" s="1"/>
  <c r="O262" i="1"/>
  <c r="Q262" i="1" s="1"/>
  <c r="O263" i="1"/>
  <c r="Q263" i="1" s="1"/>
  <c r="O264" i="1"/>
  <c r="Q264" i="1" s="1"/>
  <c r="O265" i="1"/>
  <c r="Q265" i="1" s="1"/>
  <c r="O266" i="1"/>
  <c r="Q266" i="1" s="1"/>
  <c r="O267" i="1"/>
  <c r="Q267" i="1" s="1"/>
  <c r="O268" i="1"/>
  <c r="Q268" i="1" s="1"/>
  <c r="O269" i="1"/>
  <c r="Q269" i="1" s="1"/>
  <c r="O270" i="1"/>
  <c r="Q270" i="1" s="1"/>
  <c r="O271" i="1"/>
  <c r="Q271" i="1" s="1"/>
  <c r="O272" i="1"/>
  <c r="Q272" i="1" s="1"/>
  <c r="O273" i="1"/>
  <c r="Q273" i="1" s="1"/>
  <c r="O274" i="1"/>
  <c r="Q274" i="1" s="1"/>
  <c r="O275" i="1"/>
  <c r="Q275" i="1" s="1"/>
  <c r="O276" i="1"/>
  <c r="Q276" i="1" s="1"/>
  <c r="O277" i="1"/>
  <c r="Q277" i="1" s="1"/>
  <c r="O278" i="1"/>
  <c r="Q278" i="1" s="1"/>
  <c r="O279" i="1"/>
  <c r="Q279" i="1" s="1"/>
  <c r="O280" i="1"/>
  <c r="Q280" i="1" s="1"/>
  <c r="O281" i="1"/>
  <c r="Q281" i="1" s="1"/>
  <c r="O282" i="1"/>
  <c r="Q282" i="1" s="1"/>
  <c r="O283" i="1"/>
  <c r="Q283" i="1" s="1"/>
  <c r="O284" i="1"/>
  <c r="Q284" i="1" s="1"/>
  <c r="O285" i="1"/>
  <c r="Q285" i="1" s="1"/>
  <c r="O286" i="1"/>
  <c r="Q286" i="1" s="1"/>
  <c r="O287" i="1"/>
  <c r="Q287" i="1" s="1"/>
  <c r="O288" i="1"/>
  <c r="Q288" i="1" s="1"/>
  <c r="O289" i="1"/>
  <c r="Q289" i="1" s="1"/>
  <c r="O290" i="1"/>
  <c r="Q290" i="1" s="1"/>
  <c r="O291" i="1"/>
  <c r="Q291" i="1" s="1"/>
  <c r="O292" i="1"/>
  <c r="Q292" i="1" s="1"/>
  <c r="O293" i="1"/>
  <c r="Q293" i="1" s="1"/>
  <c r="O294" i="1"/>
  <c r="Q294" i="1" s="1"/>
  <c r="O295" i="1"/>
  <c r="Q295" i="1" s="1"/>
  <c r="O296" i="1"/>
  <c r="Q296" i="1" s="1"/>
  <c r="O297" i="1"/>
  <c r="Q297" i="1" s="1"/>
  <c r="O298" i="1"/>
  <c r="Q298" i="1" s="1"/>
  <c r="O299" i="1"/>
  <c r="Q299" i="1" s="1"/>
  <c r="O300" i="1"/>
  <c r="Q300" i="1" s="1"/>
  <c r="O301" i="1"/>
  <c r="Q301" i="1" s="1"/>
  <c r="O302" i="1"/>
  <c r="Q302" i="1" s="1"/>
  <c r="O303" i="1"/>
  <c r="Q303" i="1" s="1"/>
  <c r="O304" i="1"/>
  <c r="Q304" i="1" s="1"/>
  <c r="O305" i="1"/>
  <c r="Q305" i="1" s="1"/>
  <c r="O306" i="1"/>
  <c r="Q306" i="1" s="1"/>
  <c r="O307" i="1"/>
  <c r="Q307" i="1" s="1"/>
  <c r="O308" i="1"/>
  <c r="Q308" i="1" s="1"/>
  <c r="O309" i="1"/>
  <c r="Q309" i="1" s="1"/>
  <c r="O310" i="1"/>
  <c r="Q310" i="1" s="1"/>
  <c r="O311" i="1"/>
  <c r="Q311" i="1" s="1"/>
  <c r="O312" i="1"/>
  <c r="Q312" i="1" s="1"/>
  <c r="O313" i="1"/>
  <c r="Q313" i="1" s="1"/>
  <c r="O314" i="1"/>
  <c r="Q314" i="1" s="1"/>
  <c r="O315" i="1"/>
  <c r="Q315" i="1" s="1"/>
  <c r="O316" i="1"/>
  <c r="Q316" i="1" s="1"/>
  <c r="O317" i="1"/>
  <c r="Q317" i="1" s="1"/>
  <c r="O318" i="1"/>
  <c r="Q318" i="1" s="1"/>
  <c r="O319" i="1"/>
  <c r="Q319" i="1" s="1"/>
  <c r="O320" i="1"/>
  <c r="Q320" i="1" s="1"/>
  <c r="O321" i="1"/>
  <c r="Q321" i="1" s="1"/>
  <c r="O322" i="1"/>
  <c r="Q322" i="1" s="1"/>
  <c r="O323" i="1"/>
  <c r="Q323" i="1" s="1"/>
  <c r="O324" i="1"/>
  <c r="Q324" i="1" s="1"/>
  <c r="O325" i="1"/>
  <c r="Q325" i="1" s="1"/>
  <c r="O326" i="1"/>
  <c r="Q326" i="1" s="1"/>
  <c r="O327" i="1"/>
  <c r="Q327" i="1" s="1"/>
  <c r="O328" i="1"/>
  <c r="Q328" i="1" s="1"/>
  <c r="O329" i="1"/>
  <c r="Q329" i="1" s="1"/>
  <c r="O330" i="1"/>
  <c r="Q330" i="1" s="1"/>
  <c r="O331" i="1"/>
  <c r="Q331" i="1" s="1"/>
  <c r="O332" i="1"/>
  <c r="Q332" i="1" s="1"/>
  <c r="O333" i="1"/>
  <c r="Q333" i="1" s="1"/>
  <c r="O334" i="1"/>
  <c r="Q334" i="1" s="1"/>
  <c r="O335" i="1"/>
  <c r="Q335" i="1" s="1"/>
  <c r="O336" i="1"/>
  <c r="Q336" i="1" s="1"/>
  <c r="O337" i="1"/>
  <c r="Q337" i="1" s="1"/>
  <c r="O338" i="1"/>
  <c r="Q338" i="1" s="1"/>
  <c r="O339" i="1"/>
  <c r="Q339" i="1" s="1"/>
  <c r="O340" i="1"/>
  <c r="Q340" i="1" s="1"/>
  <c r="O341" i="1"/>
  <c r="Q341" i="1" s="1"/>
  <c r="O342" i="1"/>
  <c r="Q342" i="1" s="1"/>
  <c r="O343" i="1"/>
  <c r="Q343" i="1" s="1"/>
  <c r="O344" i="1"/>
  <c r="Q344" i="1" s="1"/>
  <c r="O345" i="1"/>
  <c r="Q345" i="1" s="1"/>
  <c r="O346" i="1"/>
  <c r="Q346" i="1" s="1"/>
  <c r="O347" i="1"/>
  <c r="Q347" i="1" s="1"/>
  <c r="O348" i="1"/>
  <c r="Q348" i="1" s="1"/>
  <c r="O349" i="1"/>
  <c r="Q349" i="1" s="1"/>
  <c r="O350" i="1"/>
  <c r="Q350" i="1" s="1"/>
  <c r="O351" i="1"/>
  <c r="Q351" i="1" s="1"/>
  <c r="O352" i="1"/>
  <c r="Q352" i="1" s="1"/>
  <c r="O353" i="1"/>
  <c r="Q353" i="1" s="1"/>
  <c r="O354" i="1"/>
  <c r="Q354" i="1" s="1"/>
  <c r="O355" i="1"/>
  <c r="Q355" i="1" s="1"/>
  <c r="O356" i="1"/>
  <c r="Q356" i="1" s="1"/>
  <c r="O357" i="1"/>
  <c r="Q357" i="1" s="1"/>
  <c r="O358" i="1"/>
  <c r="Q358" i="1" s="1"/>
  <c r="O359" i="1"/>
  <c r="Q359" i="1" s="1"/>
  <c r="O360" i="1"/>
  <c r="Q360" i="1" s="1"/>
  <c r="O361" i="1"/>
  <c r="Q361" i="1" s="1"/>
  <c r="O362" i="1"/>
  <c r="Q362" i="1" s="1"/>
  <c r="O363" i="1"/>
  <c r="Q363" i="1" s="1"/>
  <c r="O364" i="1"/>
  <c r="Q364" i="1" s="1"/>
  <c r="O365" i="1"/>
  <c r="Q365" i="1" s="1"/>
  <c r="O366" i="1"/>
  <c r="Q366" i="1" s="1"/>
  <c r="O367" i="1"/>
  <c r="Q367" i="1" s="1"/>
  <c r="O368" i="1"/>
  <c r="Q368" i="1" s="1"/>
  <c r="O369" i="1"/>
  <c r="Q369" i="1" s="1"/>
  <c r="O370" i="1"/>
  <c r="Q370" i="1" s="1"/>
  <c r="O371" i="1"/>
  <c r="Q371" i="1" s="1"/>
  <c r="O372" i="1"/>
  <c r="Q372" i="1" s="1"/>
  <c r="O373" i="1"/>
  <c r="Q373" i="1" s="1"/>
  <c r="O374" i="1"/>
  <c r="Q374" i="1" s="1"/>
  <c r="O375" i="1"/>
  <c r="Q375" i="1" s="1"/>
  <c r="O376" i="1"/>
  <c r="Q376" i="1" s="1"/>
  <c r="O377" i="1"/>
  <c r="Q377" i="1" s="1"/>
  <c r="O378" i="1"/>
  <c r="Q378" i="1" s="1"/>
  <c r="O379" i="1"/>
  <c r="Q379" i="1" s="1"/>
  <c r="O380" i="1"/>
  <c r="Q380" i="1" s="1"/>
  <c r="O381" i="1"/>
  <c r="Q381" i="1" s="1"/>
  <c r="O382" i="1"/>
  <c r="Q382" i="1" s="1"/>
  <c r="O383" i="1"/>
  <c r="Q383" i="1" s="1"/>
  <c r="O384" i="1"/>
  <c r="Q384" i="1" s="1"/>
  <c r="O385" i="1"/>
  <c r="Q385" i="1" s="1"/>
  <c r="O386" i="1"/>
  <c r="Q386" i="1" s="1"/>
  <c r="O387" i="1"/>
  <c r="Q387" i="1" s="1"/>
  <c r="O388" i="1"/>
  <c r="Q388" i="1" s="1"/>
  <c r="O389" i="1"/>
  <c r="Q389" i="1" s="1"/>
  <c r="O390" i="1"/>
  <c r="Q390" i="1" s="1"/>
  <c r="O391" i="1"/>
  <c r="Q391" i="1" s="1"/>
  <c r="O392" i="1"/>
  <c r="Q392" i="1" s="1"/>
  <c r="O393" i="1"/>
  <c r="Q393" i="1" s="1"/>
  <c r="O394" i="1"/>
  <c r="Q394" i="1" s="1"/>
  <c r="O395" i="1"/>
  <c r="Q395" i="1" s="1"/>
  <c r="O396" i="1"/>
  <c r="Q396" i="1" s="1"/>
  <c r="O397" i="1"/>
  <c r="Q397" i="1" s="1"/>
  <c r="O398" i="1"/>
  <c r="Q398" i="1" s="1"/>
  <c r="O399" i="1"/>
  <c r="Q399" i="1" s="1"/>
  <c r="O400" i="1"/>
  <c r="Q400" i="1" s="1"/>
  <c r="O401" i="1"/>
  <c r="Q401" i="1" s="1"/>
  <c r="O402" i="1"/>
  <c r="Q402" i="1" s="1"/>
  <c r="O403" i="1"/>
  <c r="Q403" i="1" s="1"/>
  <c r="O404" i="1"/>
  <c r="Q404" i="1" s="1"/>
  <c r="O405" i="1"/>
  <c r="Q405" i="1" s="1"/>
  <c r="O406" i="1"/>
  <c r="Q406" i="1" s="1"/>
  <c r="O407" i="1"/>
  <c r="Q407" i="1" s="1"/>
  <c r="O408" i="1"/>
  <c r="Q408" i="1" s="1"/>
  <c r="O409" i="1"/>
  <c r="Q409" i="1" s="1"/>
  <c r="O410" i="1"/>
  <c r="Q410" i="1" s="1"/>
  <c r="O411" i="1"/>
  <c r="Q411" i="1" s="1"/>
  <c r="O412" i="1"/>
  <c r="Q412" i="1" s="1"/>
  <c r="O413" i="1"/>
  <c r="Q413" i="1" s="1"/>
  <c r="O414" i="1"/>
  <c r="Q414" i="1" s="1"/>
  <c r="O415" i="1"/>
  <c r="Q415" i="1" s="1"/>
  <c r="O416" i="1"/>
  <c r="Q416" i="1" s="1"/>
  <c r="O417" i="1"/>
  <c r="Q417" i="1" s="1"/>
  <c r="O418" i="1"/>
  <c r="Q418" i="1" s="1"/>
  <c r="O419" i="1"/>
  <c r="Q419" i="1" s="1"/>
  <c r="O420" i="1"/>
  <c r="Q420" i="1" s="1"/>
  <c r="O421" i="1"/>
  <c r="Q421" i="1" s="1"/>
  <c r="O422" i="1"/>
  <c r="Q422" i="1" s="1"/>
  <c r="O423" i="1"/>
  <c r="Q423" i="1" s="1"/>
  <c r="O424" i="1"/>
  <c r="Q424" i="1" s="1"/>
  <c r="O425" i="1"/>
  <c r="Q425" i="1" s="1"/>
  <c r="O426" i="1"/>
  <c r="Q426" i="1" s="1"/>
  <c r="O427" i="1"/>
  <c r="Q427" i="1" s="1"/>
  <c r="O428" i="1"/>
  <c r="Q428" i="1" s="1"/>
  <c r="O429" i="1"/>
  <c r="Q429" i="1" s="1"/>
  <c r="O430" i="1"/>
  <c r="Q430" i="1" s="1"/>
  <c r="O431" i="1"/>
  <c r="Q431" i="1" s="1"/>
  <c r="O432" i="1"/>
  <c r="Q432" i="1" s="1"/>
  <c r="O433" i="1"/>
  <c r="Q433" i="1" s="1"/>
  <c r="O434" i="1"/>
  <c r="Q434" i="1" s="1"/>
  <c r="O435" i="1"/>
  <c r="Q435" i="1" s="1"/>
  <c r="O436" i="1"/>
  <c r="Q436" i="1" s="1"/>
  <c r="O437" i="1"/>
  <c r="Q437" i="1" s="1"/>
  <c r="O438" i="1"/>
  <c r="Q438" i="1" s="1"/>
  <c r="O439" i="1"/>
  <c r="Q439" i="1" s="1"/>
  <c r="O440" i="1"/>
  <c r="Q440" i="1" s="1"/>
  <c r="O441" i="1"/>
  <c r="Q441" i="1" s="1"/>
  <c r="O442" i="1"/>
  <c r="Q442" i="1" s="1"/>
  <c r="O443" i="1"/>
  <c r="Q443" i="1" s="1"/>
  <c r="O444" i="1"/>
  <c r="Q444" i="1" s="1"/>
  <c r="O445" i="1"/>
  <c r="Q445" i="1" s="1"/>
  <c r="O446" i="1"/>
  <c r="Q446" i="1" s="1"/>
  <c r="O447" i="1"/>
  <c r="Q447" i="1" s="1"/>
  <c r="O448" i="1"/>
  <c r="Q448" i="1" s="1"/>
  <c r="O449" i="1"/>
  <c r="Q449" i="1" s="1"/>
  <c r="O450" i="1"/>
  <c r="Q450" i="1" s="1"/>
  <c r="O451" i="1"/>
  <c r="Q451" i="1" s="1"/>
  <c r="O452" i="1"/>
  <c r="Q452" i="1" s="1"/>
  <c r="O453" i="1"/>
  <c r="Q453" i="1" s="1"/>
  <c r="O454" i="1"/>
  <c r="Q454" i="1" s="1"/>
  <c r="O455" i="1"/>
  <c r="Q455" i="1" s="1"/>
  <c r="O456" i="1"/>
  <c r="Q456" i="1" s="1"/>
  <c r="O457" i="1"/>
  <c r="Q457" i="1" s="1"/>
  <c r="O458" i="1"/>
  <c r="Q458" i="1" s="1"/>
  <c r="O459" i="1"/>
  <c r="Q459" i="1" s="1"/>
  <c r="O460" i="1"/>
  <c r="Q460" i="1" s="1"/>
  <c r="O461" i="1"/>
  <c r="Q461" i="1" s="1"/>
  <c r="O462" i="1"/>
  <c r="Q462" i="1" s="1"/>
  <c r="O463" i="1"/>
  <c r="Q463" i="1" s="1"/>
  <c r="O464" i="1"/>
  <c r="Q464" i="1" s="1"/>
  <c r="O465" i="1"/>
  <c r="Q465" i="1" s="1"/>
  <c r="O466" i="1"/>
  <c r="Q466" i="1" s="1"/>
  <c r="O467" i="1"/>
  <c r="Q467" i="1" s="1"/>
  <c r="O468" i="1"/>
  <c r="Q468" i="1" s="1"/>
  <c r="O469" i="1"/>
  <c r="Q469" i="1" s="1"/>
  <c r="O470" i="1"/>
  <c r="Q470" i="1" s="1"/>
  <c r="O471" i="1"/>
  <c r="Q471" i="1" s="1"/>
  <c r="O472" i="1"/>
  <c r="Q472" i="1" s="1"/>
  <c r="O473" i="1"/>
  <c r="Q473" i="1" s="1"/>
  <c r="O474" i="1"/>
  <c r="Q474" i="1" s="1"/>
  <c r="O475" i="1"/>
  <c r="Q475" i="1" s="1"/>
  <c r="O476" i="1"/>
  <c r="Q476" i="1" s="1"/>
  <c r="O477" i="1"/>
  <c r="Q477" i="1" s="1"/>
  <c r="O478" i="1"/>
  <c r="Q478" i="1" s="1"/>
  <c r="O479" i="1"/>
  <c r="Q479" i="1" s="1"/>
  <c r="O480" i="1"/>
  <c r="Q480" i="1" s="1"/>
  <c r="O481" i="1"/>
  <c r="Q481" i="1" s="1"/>
  <c r="O482" i="1"/>
  <c r="Q482" i="1" s="1"/>
  <c r="O483" i="1"/>
  <c r="Q483" i="1" s="1"/>
  <c r="O484" i="1"/>
  <c r="Q484" i="1" s="1"/>
  <c r="O485" i="1"/>
  <c r="Q485" i="1" s="1"/>
  <c r="O486" i="1"/>
  <c r="Q486" i="1" s="1"/>
  <c r="O487" i="1"/>
  <c r="Q487" i="1" s="1"/>
  <c r="O488" i="1"/>
  <c r="Q488" i="1" s="1"/>
  <c r="O489" i="1"/>
  <c r="Q489" i="1" s="1"/>
  <c r="O490" i="1"/>
  <c r="Q490" i="1" s="1"/>
  <c r="O491" i="1"/>
  <c r="Q491" i="1" s="1"/>
  <c r="O492" i="1"/>
  <c r="Q492" i="1" s="1"/>
  <c r="O493" i="1"/>
  <c r="Q493" i="1" s="1"/>
  <c r="O494" i="1"/>
  <c r="Q494" i="1" s="1"/>
  <c r="O495" i="1"/>
  <c r="Q495" i="1" s="1"/>
  <c r="O496" i="1"/>
  <c r="Q496" i="1" s="1"/>
  <c r="O497" i="1"/>
  <c r="Q497" i="1" s="1"/>
  <c r="O498" i="1"/>
  <c r="Q498" i="1" s="1"/>
  <c r="O499" i="1"/>
  <c r="Q499" i="1" s="1"/>
  <c r="O500" i="1"/>
  <c r="Q500" i="1" s="1"/>
  <c r="O501" i="1"/>
  <c r="Q501" i="1" s="1"/>
  <c r="O502" i="1"/>
  <c r="Q502" i="1" s="1"/>
  <c r="O503" i="1"/>
  <c r="Q503" i="1" s="1"/>
  <c r="O504" i="1"/>
  <c r="Q504" i="1" s="1"/>
  <c r="O505" i="1"/>
  <c r="Q505" i="1" s="1"/>
  <c r="O506" i="1"/>
  <c r="Q506" i="1" s="1"/>
  <c r="O507" i="1"/>
  <c r="Q507" i="1" s="1"/>
  <c r="O508" i="1"/>
  <c r="Q508" i="1" s="1"/>
  <c r="O509" i="1"/>
  <c r="Q509" i="1" s="1"/>
  <c r="O510" i="1"/>
  <c r="Q510" i="1" s="1"/>
  <c r="O511" i="1"/>
  <c r="Q511" i="1" s="1"/>
  <c r="O512" i="1"/>
  <c r="Q512" i="1" s="1"/>
  <c r="O513" i="1"/>
  <c r="Q513" i="1" s="1"/>
  <c r="O514" i="1"/>
  <c r="Q514" i="1" s="1"/>
  <c r="O515" i="1"/>
  <c r="Q515" i="1" s="1"/>
  <c r="O516" i="1"/>
  <c r="Q516" i="1" s="1"/>
  <c r="O517" i="1"/>
  <c r="Q517" i="1" s="1"/>
  <c r="O518" i="1"/>
  <c r="Q518" i="1" s="1"/>
  <c r="O519" i="1"/>
  <c r="Q519" i="1" s="1"/>
  <c r="O520" i="1"/>
  <c r="Q520" i="1" s="1"/>
  <c r="O521" i="1"/>
  <c r="Q521" i="1" s="1"/>
  <c r="O522" i="1"/>
  <c r="Q522" i="1" s="1"/>
  <c r="O523" i="1"/>
  <c r="Q523" i="1" s="1"/>
  <c r="O524" i="1"/>
  <c r="Q524" i="1" s="1"/>
  <c r="O525" i="1"/>
  <c r="Q525" i="1" s="1"/>
  <c r="O526" i="1"/>
  <c r="Q526" i="1" s="1"/>
  <c r="O527" i="1"/>
  <c r="Q527" i="1" s="1"/>
  <c r="O528" i="1"/>
  <c r="Q528" i="1" s="1"/>
  <c r="O529" i="1"/>
  <c r="Q529" i="1" s="1"/>
  <c r="O530" i="1"/>
  <c r="Q530" i="1" s="1"/>
  <c r="O531" i="1"/>
  <c r="Q531" i="1" s="1"/>
  <c r="O532" i="1"/>
  <c r="Q532" i="1" s="1"/>
  <c r="O533" i="1"/>
  <c r="Q533" i="1" s="1"/>
  <c r="O534" i="1"/>
  <c r="Q534" i="1" s="1"/>
  <c r="O535" i="1"/>
  <c r="Q535" i="1" s="1"/>
  <c r="O536" i="1"/>
  <c r="Q536" i="1" s="1"/>
  <c r="O537" i="1"/>
  <c r="Q537" i="1" s="1"/>
  <c r="O538" i="1"/>
  <c r="Q538" i="1" s="1"/>
  <c r="O539" i="1"/>
  <c r="Q539" i="1" s="1"/>
  <c r="O540" i="1"/>
  <c r="Q540" i="1" s="1"/>
  <c r="O541" i="1"/>
  <c r="Q541" i="1" s="1"/>
  <c r="O542" i="1"/>
  <c r="Q542" i="1" s="1"/>
  <c r="O543" i="1"/>
  <c r="Q543" i="1" s="1"/>
  <c r="O544" i="1"/>
  <c r="Q544" i="1" s="1"/>
  <c r="O545" i="1"/>
  <c r="Q545" i="1" s="1"/>
  <c r="O546" i="1"/>
  <c r="Q546" i="1" s="1"/>
  <c r="O547" i="1"/>
  <c r="Q547" i="1" s="1"/>
  <c r="O548" i="1"/>
  <c r="Q548" i="1" s="1"/>
  <c r="O549" i="1"/>
  <c r="Q549" i="1" s="1"/>
  <c r="O550" i="1"/>
  <c r="Q550" i="1" s="1"/>
  <c r="O551" i="1"/>
  <c r="Q551" i="1" s="1"/>
  <c r="O552" i="1"/>
  <c r="Q552" i="1" s="1"/>
  <c r="O553" i="1"/>
  <c r="Q553" i="1" s="1"/>
  <c r="O554" i="1"/>
  <c r="Q554" i="1" s="1"/>
  <c r="O555" i="1"/>
  <c r="Q555" i="1" s="1"/>
  <c r="O556" i="1"/>
  <c r="Q556" i="1" s="1"/>
  <c r="O557" i="1"/>
  <c r="Q557" i="1" s="1"/>
  <c r="O558" i="1"/>
  <c r="Q558" i="1" s="1"/>
  <c r="O559" i="1"/>
  <c r="Q559" i="1" s="1"/>
  <c r="O560" i="1"/>
  <c r="Q560" i="1" s="1"/>
  <c r="O561" i="1"/>
  <c r="Q561" i="1" s="1"/>
  <c r="O562" i="1"/>
  <c r="Q562" i="1" s="1"/>
  <c r="O563" i="1"/>
  <c r="Q563" i="1" s="1"/>
  <c r="O564" i="1"/>
  <c r="Q564" i="1" s="1"/>
  <c r="O565" i="1"/>
  <c r="Q565" i="1" s="1"/>
  <c r="O566" i="1"/>
  <c r="Q566" i="1" s="1"/>
  <c r="O567" i="1"/>
  <c r="Q567" i="1" s="1"/>
  <c r="O568" i="1"/>
  <c r="Q568" i="1" s="1"/>
  <c r="O569" i="1"/>
  <c r="Q569" i="1" s="1"/>
  <c r="O570" i="1"/>
  <c r="Q570" i="1" s="1"/>
  <c r="O571" i="1"/>
  <c r="Q571" i="1" s="1"/>
  <c r="O572" i="1"/>
  <c r="Q572" i="1" s="1"/>
  <c r="O573" i="1"/>
  <c r="Q573" i="1" s="1"/>
  <c r="O574" i="1"/>
  <c r="Q574" i="1" s="1"/>
  <c r="O575" i="1"/>
  <c r="Q575" i="1" s="1"/>
  <c r="O576" i="1"/>
  <c r="Q576" i="1" s="1"/>
  <c r="O577" i="1"/>
  <c r="Q577" i="1" s="1"/>
  <c r="O578" i="1"/>
  <c r="Q578" i="1" s="1"/>
  <c r="O579" i="1"/>
  <c r="Q579" i="1" s="1"/>
  <c r="O580" i="1"/>
  <c r="Q580" i="1" s="1"/>
  <c r="O581" i="1"/>
  <c r="Q581" i="1" s="1"/>
  <c r="O582" i="1"/>
  <c r="Q582" i="1" s="1"/>
  <c r="O583" i="1"/>
  <c r="Q583" i="1" s="1"/>
  <c r="O584" i="1"/>
  <c r="Q584" i="1" s="1"/>
  <c r="O585" i="1"/>
  <c r="Q585" i="1" s="1"/>
  <c r="O586" i="1"/>
  <c r="Q586" i="1" s="1"/>
  <c r="O587" i="1"/>
  <c r="Q587" i="1" s="1"/>
  <c r="O588" i="1"/>
  <c r="Q588" i="1" s="1"/>
  <c r="O589" i="1"/>
  <c r="Q589" i="1" s="1"/>
  <c r="O590" i="1"/>
  <c r="Q590" i="1" s="1"/>
  <c r="O591" i="1"/>
  <c r="Q591" i="1" s="1"/>
  <c r="O592" i="1"/>
  <c r="Q592" i="1" s="1"/>
  <c r="O593" i="1"/>
  <c r="Q593" i="1" s="1"/>
  <c r="O594" i="1"/>
  <c r="Q594" i="1" s="1"/>
  <c r="O595" i="1"/>
  <c r="Q595" i="1" s="1"/>
  <c r="O596" i="1"/>
  <c r="Q596" i="1" s="1"/>
  <c r="O597" i="1"/>
  <c r="Q597" i="1" s="1"/>
  <c r="O598" i="1"/>
  <c r="Q598" i="1" s="1"/>
  <c r="O599" i="1"/>
  <c r="Q599" i="1" s="1"/>
  <c r="O600" i="1"/>
  <c r="Q600" i="1" s="1"/>
  <c r="O601" i="1"/>
  <c r="Q601" i="1" s="1"/>
  <c r="O602" i="1"/>
  <c r="Q602" i="1" s="1"/>
  <c r="O603" i="1"/>
  <c r="Q603" i="1" s="1"/>
  <c r="O604" i="1"/>
  <c r="Q604" i="1" s="1"/>
  <c r="O605" i="1"/>
  <c r="Q605" i="1" s="1"/>
  <c r="O606" i="1"/>
  <c r="Q606" i="1" s="1"/>
  <c r="O607" i="1"/>
  <c r="Q607" i="1" s="1"/>
  <c r="O608" i="1"/>
  <c r="Q608" i="1" s="1"/>
  <c r="O609" i="1"/>
  <c r="Q609" i="1" s="1"/>
  <c r="O610" i="1"/>
  <c r="Q610" i="1" s="1"/>
  <c r="O611" i="1"/>
  <c r="Q611" i="1" s="1"/>
  <c r="O612" i="1"/>
  <c r="Q612" i="1" s="1"/>
  <c r="O613" i="1"/>
  <c r="Q613" i="1" s="1"/>
  <c r="O614" i="1"/>
  <c r="Q614" i="1" s="1"/>
  <c r="O615" i="1"/>
  <c r="Q615" i="1" s="1"/>
  <c r="O616" i="1"/>
  <c r="Q616" i="1" s="1"/>
  <c r="O617" i="1"/>
  <c r="Q617" i="1" s="1"/>
  <c r="O618" i="1"/>
  <c r="Q618" i="1" s="1"/>
  <c r="O619" i="1"/>
  <c r="Q619" i="1" s="1"/>
  <c r="O620" i="1"/>
  <c r="Q620" i="1" s="1"/>
  <c r="O621" i="1"/>
  <c r="Q621" i="1" s="1"/>
  <c r="O622" i="1"/>
  <c r="Q622" i="1" s="1"/>
  <c r="O623" i="1"/>
  <c r="Q623" i="1" s="1"/>
  <c r="O624" i="1"/>
  <c r="Q624" i="1" s="1"/>
  <c r="O625" i="1"/>
  <c r="Q625" i="1" s="1"/>
  <c r="O626" i="1"/>
  <c r="Q626" i="1" s="1"/>
  <c r="O627" i="1"/>
  <c r="Q627" i="1" s="1"/>
  <c r="O628" i="1"/>
  <c r="Q628" i="1" s="1"/>
  <c r="O629" i="1"/>
  <c r="Q629" i="1" s="1"/>
  <c r="O630" i="1"/>
  <c r="Q630" i="1" s="1"/>
  <c r="O631" i="1"/>
  <c r="Q631" i="1" s="1"/>
  <c r="O632" i="1"/>
  <c r="Q632" i="1" s="1"/>
  <c r="O633" i="1"/>
  <c r="Q633" i="1" s="1"/>
  <c r="O634" i="1"/>
  <c r="Q634" i="1" s="1"/>
  <c r="O635" i="1"/>
  <c r="Q635" i="1" s="1"/>
  <c r="O636" i="1"/>
  <c r="Q636" i="1" s="1"/>
  <c r="O637" i="1"/>
  <c r="Q637" i="1" s="1"/>
  <c r="O638" i="1"/>
  <c r="Q638" i="1" s="1"/>
  <c r="O639" i="1"/>
  <c r="Q639" i="1" s="1"/>
  <c r="O640" i="1"/>
  <c r="Q640" i="1" s="1"/>
  <c r="O641" i="1"/>
  <c r="Q641" i="1" s="1"/>
  <c r="O642" i="1"/>
  <c r="Q642" i="1" s="1"/>
  <c r="O643" i="1"/>
  <c r="Q643" i="1" s="1"/>
  <c r="O644" i="1"/>
  <c r="Q644" i="1" s="1"/>
  <c r="O645" i="1"/>
  <c r="Q645" i="1" s="1"/>
  <c r="O646" i="1"/>
  <c r="Q646" i="1" s="1"/>
  <c r="O647" i="1"/>
  <c r="Q647" i="1" s="1"/>
  <c r="O648" i="1"/>
  <c r="Q648" i="1" s="1"/>
  <c r="O649" i="1"/>
  <c r="Q649" i="1" s="1"/>
  <c r="O650" i="1"/>
  <c r="Q650" i="1" s="1"/>
  <c r="O651" i="1"/>
  <c r="Q651" i="1" s="1"/>
  <c r="O652" i="1"/>
  <c r="Q652" i="1" s="1"/>
  <c r="O653" i="1"/>
  <c r="Q653" i="1" s="1"/>
  <c r="O654" i="1"/>
  <c r="Q654" i="1" s="1"/>
  <c r="O655" i="1"/>
  <c r="Q655" i="1" s="1"/>
  <c r="O656" i="1"/>
  <c r="Q656" i="1" s="1"/>
  <c r="O657" i="1"/>
  <c r="Q657" i="1" s="1"/>
  <c r="O658" i="1"/>
  <c r="Q658" i="1" s="1"/>
  <c r="O659" i="1"/>
  <c r="Q659" i="1" s="1"/>
  <c r="O660" i="1"/>
  <c r="Q660" i="1" s="1"/>
  <c r="O661" i="1"/>
  <c r="Q661" i="1" s="1"/>
  <c r="O662" i="1"/>
  <c r="Q662" i="1" s="1"/>
  <c r="O663" i="1"/>
  <c r="Q663" i="1" s="1"/>
  <c r="O664" i="1"/>
  <c r="Q664" i="1" s="1"/>
  <c r="O665" i="1"/>
  <c r="Q665" i="1" s="1"/>
  <c r="O666" i="1"/>
  <c r="Q666" i="1" s="1"/>
  <c r="O667" i="1"/>
  <c r="Q667" i="1" s="1"/>
  <c r="O668" i="1"/>
  <c r="Q668" i="1" s="1"/>
  <c r="O669" i="1"/>
  <c r="Q669" i="1" s="1"/>
  <c r="O670" i="1"/>
  <c r="Q670" i="1" s="1"/>
  <c r="O671" i="1"/>
  <c r="Q671" i="1" s="1"/>
  <c r="O672" i="1"/>
  <c r="Q672" i="1" s="1"/>
  <c r="O673" i="1"/>
  <c r="Q673" i="1" s="1"/>
  <c r="O674" i="1"/>
  <c r="Q674" i="1" s="1"/>
  <c r="O675" i="1"/>
  <c r="Q675" i="1" s="1"/>
  <c r="O676" i="1"/>
  <c r="Q676" i="1" s="1"/>
  <c r="O677" i="1"/>
  <c r="Q677" i="1" s="1"/>
  <c r="O678" i="1"/>
  <c r="Q678" i="1" s="1"/>
  <c r="O679" i="1"/>
  <c r="Q679" i="1" s="1"/>
  <c r="O680" i="1"/>
  <c r="Q680" i="1" s="1"/>
  <c r="O681" i="1"/>
  <c r="Q681" i="1" s="1"/>
  <c r="O682" i="1"/>
  <c r="Q682" i="1" s="1"/>
  <c r="O683" i="1"/>
  <c r="Q683" i="1" s="1"/>
  <c r="O684" i="1"/>
  <c r="Q684" i="1" s="1"/>
  <c r="O685" i="1"/>
  <c r="Q685" i="1" s="1"/>
  <c r="O686" i="1"/>
  <c r="Q686" i="1" s="1"/>
  <c r="O687" i="1"/>
  <c r="Q687" i="1" s="1"/>
  <c r="O688" i="1"/>
  <c r="Q688" i="1" s="1"/>
  <c r="O689" i="1"/>
  <c r="Q689" i="1" s="1"/>
  <c r="O690" i="1"/>
  <c r="Q690" i="1" s="1"/>
  <c r="O691" i="1"/>
  <c r="Q691" i="1" s="1"/>
  <c r="O692" i="1"/>
  <c r="Q692" i="1" s="1"/>
  <c r="O693" i="1"/>
  <c r="Q693" i="1" s="1"/>
  <c r="O694" i="1"/>
  <c r="Q694" i="1" s="1"/>
  <c r="O695" i="1"/>
  <c r="Q695" i="1" s="1"/>
  <c r="O696" i="1"/>
  <c r="Q696" i="1" s="1"/>
  <c r="O697" i="1"/>
  <c r="Q697" i="1" s="1"/>
  <c r="O698" i="1"/>
  <c r="Q698" i="1" s="1"/>
  <c r="O699" i="1"/>
  <c r="Q699" i="1" s="1"/>
  <c r="O700" i="1"/>
  <c r="Q700" i="1" s="1"/>
  <c r="O701" i="1"/>
  <c r="Q701" i="1" s="1"/>
  <c r="O702" i="1"/>
  <c r="Q702" i="1" s="1"/>
  <c r="O703" i="1"/>
  <c r="Q703" i="1" s="1"/>
  <c r="O704" i="1"/>
  <c r="Q704" i="1" s="1"/>
  <c r="O705" i="1"/>
  <c r="Q705" i="1" s="1"/>
  <c r="O706" i="1"/>
  <c r="Q706" i="1" s="1"/>
  <c r="O707" i="1"/>
  <c r="Q707" i="1" s="1"/>
  <c r="O708" i="1"/>
  <c r="Q708" i="1" s="1"/>
  <c r="O709" i="1"/>
  <c r="Q709" i="1" s="1"/>
  <c r="O710" i="1"/>
  <c r="Q710" i="1" s="1"/>
  <c r="O711" i="1"/>
  <c r="Q711" i="1" s="1"/>
  <c r="O712" i="1"/>
  <c r="Q712" i="1" s="1"/>
  <c r="O713" i="1"/>
  <c r="Q713" i="1" s="1"/>
  <c r="O714" i="1"/>
  <c r="Q714" i="1" s="1"/>
  <c r="O715" i="1"/>
  <c r="Q715" i="1" s="1"/>
  <c r="O716" i="1"/>
  <c r="Q716" i="1" s="1"/>
  <c r="O717" i="1"/>
  <c r="Q717" i="1" s="1"/>
  <c r="O718" i="1"/>
  <c r="Q718" i="1" s="1"/>
  <c r="O719" i="1"/>
  <c r="Q719" i="1" s="1"/>
  <c r="O720" i="1"/>
  <c r="Q720" i="1" s="1"/>
  <c r="O721" i="1"/>
  <c r="Q721" i="1" s="1"/>
  <c r="O722" i="1"/>
  <c r="Q722" i="1" s="1"/>
  <c r="O723" i="1"/>
  <c r="Q723" i="1" s="1"/>
  <c r="O724" i="1"/>
  <c r="Q724" i="1" s="1"/>
  <c r="O725" i="1"/>
  <c r="Q725" i="1" s="1"/>
  <c r="O726" i="1"/>
  <c r="Q726" i="1" s="1"/>
  <c r="O727" i="1"/>
  <c r="Q727" i="1" s="1"/>
  <c r="O728" i="1"/>
  <c r="Q728" i="1" s="1"/>
  <c r="O729" i="1"/>
  <c r="Q729" i="1" s="1"/>
  <c r="O730" i="1"/>
  <c r="Q730" i="1" s="1"/>
  <c r="O731" i="1"/>
  <c r="Q731" i="1" s="1"/>
  <c r="O732" i="1"/>
  <c r="Q732" i="1" s="1"/>
  <c r="O733" i="1"/>
  <c r="Q733" i="1" s="1"/>
  <c r="O734" i="1"/>
  <c r="Q734" i="1" s="1"/>
  <c r="O735" i="1"/>
  <c r="Q735" i="1" s="1"/>
  <c r="O736" i="1"/>
  <c r="Q736" i="1" s="1"/>
  <c r="O737" i="1"/>
  <c r="Q737" i="1" s="1"/>
  <c r="O738" i="1"/>
  <c r="Q738" i="1" s="1"/>
  <c r="O739" i="1"/>
  <c r="Q739" i="1" s="1"/>
  <c r="O740" i="1"/>
  <c r="Q740" i="1" s="1"/>
  <c r="O741" i="1"/>
  <c r="Q741" i="1" s="1"/>
  <c r="O742" i="1"/>
  <c r="Q742" i="1" s="1"/>
  <c r="O743" i="1"/>
  <c r="Q743" i="1" s="1"/>
  <c r="N3" i="1"/>
  <c r="P3" i="1" s="1"/>
  <c r="N4" i="1"/>
  <c r="P4" i="1" s="1"/>
  <c r="N5" i="1"/>
  <c r="P5" i="1" s="1"/>
  <c r="N6" i="1"/>
  <c r="P6" i="1" s="1"/>
  <c r="N7" i="1"/>
  <c r="P7" i="1" s="1"/>
  <c r="N8" i="1"/>
  <c r="P8" i="1" s="1"/>
  <c r="N9" i="1"/>
  <c r="P9" i="1" s="1"/>
  <c r="N10" i="1"/>
  <c r="P10" i="1" s="1"/>
  <c r="N11" i="1"/>
  <c r="P11" i="1" s="1"/>
  <c r="N12" i="1"/>
  <c r="P12" i="1" s="1"/>
  <c r="N13" i="1"/>
  <c r="P13" i="1" s="1"/>
  <c r="N14" i="1"/>
  <c r="P14" i="1" s="1"/>
  <c r="N15" i="1"/>
  <c r="P15" i="1" s="1"/>
  <c r="N16" i="1"/>
  <c r="P16" i="1" s="1"/>
  <c r="N17" i="1"/>
  <c r="P17" i="1" s="1"/>
  <c r="N18" i="1"/>
  <c r="P18" i="1" s="1"/>
  <c r="N19" i="1"/>
  <c r="P19" i="1" s="1"/>
  <c r="N20" i="1"/>
  <c r="P20" i="1" s="1"/>
  <c r="N21" i="1"/>
  <c r="P21" i="1" s="1"/>
  <c r="N22" i="1"/>
  <c r="P22" i="1" s="1"/>
  <c r="N23" i="1"/>
  <c r="P23" i="1" s="1"/>
  <c r="N24" i="1"/>
  <c r="P24" i="1" s="1"/>
  <c r="N25" i="1"/>
  <c r="P25" i="1" s="1"/>
  <c r="N26" i="1"/>
  <c r="P26" i="1" s="1"/>
  <c r="N27" i="1"/>
  <c r="P27" i="1" s="1"/>
  <c r="N28" i="1"/>
  <c r="P28" i="1" s="1"/>
  <c r="N29" i="1"/>
  <c r="P29" i="1" s="1"/>
  <c r="N30" i="1"/>
  <c r="P30" i="1" s="1"/>
  <c r="N31" i="1"/>
  <c r="P31" i="1" s="1"/>
  <c r="N32" i="1"/>
  <c r="P32" i="1" s="1"/>
  <c r="N33" i="1"/>
  <c r="P33" i="1" s="1"/>
  <c r="N34" i="1"/>
  <c r="P34" i="1" s="1"/>
  <c r="N35" i="1"/>
  <c r="P35" i="1" s="1"/>
  <c r="N36" i="1"/>
  <c r="P36" i="1" s="1"/>
  <c r="N37" i="1"/>
  <c r="P37" i="1" s="1"/>
  <c r="N38" i="1"/>
  <c r="P38" i="1" s="1"/>
  <c r="N39" i="1"/>
  <c r="P39" i="1" s="1"/>
  <c r="N40" i="1"/>
  <c r="P40" i="1" s="1"/>
  <c r="N41" i="1"/>
  <c r="P41" i="1" s="1"/>
  <c r="N42" i="1"/>
  <c r="P42" i="1" s="1"/>
  <c r="N43" i="1"/>
  <c r="P43" i="1" s="1"/>
  <c r="N44" i="1"/>
  <c r="P44" i="1" s="1"/>
  <c r="N45" i="1"/>
  <c r="P45" i="1" s="1"/>
  <c r="N46" i="1"/>
  <c r="P46" i="1" s="1"/>
  <c r="N47" i="1"/>
  <c r="P47" i="1" s="1"/>
  <c r="N48" i="1"/>
  <c r="P48" i="1" s="1"/>
  <c r="N49" i="1"/>
  <c r="P49" i="1" s="1"/>
  <c r="N50" i="1"/>
  <c r="P50" i="1" s="1"/>
  <c r="N51" i="1"/>
  <c r="P51" i="1" s="1"/>
  <c r="N52" i="1"/>
  <c r="P52" i="1" s="1"/>
  <c r="N53" i="1"/>
  <c r="P53" i="1" s="1"/>
  <c r="N54" i="1"/>
  <c r="P54" i="1" s="1"/>
  <c r="N55" i="1"/>
  <c r="P55" i="1" s="1"/>
  <c r="N56" i="1"/>
  <c r="P56" i="1" s="1"/>
  <c r="N57" i="1"/>
  <c r="P57" i="1" s="1"/>
  <c r="N58" i="1"/>
  <c r="P58" i="1" s="1"/>
  <c r="N59" i="1"/>
  <c r="P59" i="1" s="1"/>
  <c r="N60" i="1"/>
  <c r="P60" i="1" s="1"/>
  <c r="N61" i="1"/>
  <c r="P61" i="1" s="1"/>
  <c r="N62" i="1"/>
  <c r="P62" i="1" s="1"/>
  <c r="N63" i="1"/>
  <c r="P63" i="1" s="1"/>
  <c r="N64" i="1"/>
  <c r="P64" i="1" s="1"/>
  <c r="N65" i="1"/>
  <c r="P65" i="1" s="1"/>
  <c r="N66" i="1"/>
  <c r="P66" i="1" s="1"/>
  <c r="N67" i="1"/>
  <c r="P67" i="1" s="1"/>
  <c r="N68" i="1"/>
  <c r="P68" i="1" s="1"/>
  <c r="N69" i="1"/>
  <c r="P69" i="1" s="1"/>
  <c r="N70" i="1"/>
  <c r="P70" i="1" s="1"/>
  <c r="N71" i="1"/>
  <c r="P71" i="1" s="1"/>
  <c r="N72" i="1"/>
  <c r="P72" i="1" s="1"/>
  <c r="N73" i="1"/>
  <c r="P73" i="1" s="1"/>
  <c r="N74" i="1"/>
  <c r="P74" i="1" s="1"/>
  <c r="N75" i="1"/>
  <c r="P75" i="1" s="1"/>
  <c r="N76" i="1"/>
  <c r="P76" i="1" s="1"/>
  <c r="N77" i="1"/>
  <c r="P77" i="1" s="1"/>
  <c r="N78" i="1"/>
  <c r="P78" i="1" s="1"/>
  <c r="N79" i="1"/>
  <c r="P79" i="1" s="1"/>
  <c r="N80" i="1"/>
  <c r="P80" i="1" s="1"/>
  <c r="N81" i="1"/>
  <c r="P81" i="1" s="1"/>
  <c r="N82" i="1"/>
  <c r="P82" i="1" s="1"/>
  <c r="N83" i="1"/>
  <c r="P83" i="1" s="1"/>
  <c r="N84" i="1"/>
  <c r="P84" i="1" s="1"/>
  <c r="N85" i="1"/>
  <c r="P85" i="1" s="1"/>
  <c r="N86" i="1"/>
  <c r="P86" i="1" s="1"/>
  <c r="N87" i="1"/>
  <c r="P87" i="1" s="1"/>
  <c r="N88" i="1"/>
  <c r="P88" i="1" s="1"/>
  <c r="N89" i="1"/>
  <c r="P89" i="1" s="1"/>
  <c r="N90" i="1"/>
  <c r="P90" i="1" s="1"/>
  <c r="N91" i="1"/>
  <c r="P91" i="1" s="1"/>
  <c r="N92" i="1"/>
  <c r="P92" i="1" s="1"/>
  <c r="N93" i="1"/>
  <c r="P93" i="1" s="1"/>
  <c r="N94" i="1"/>
  <c r="P94" i="1" s="1"/>
  <c r="N95" i="1"/>
  <c r="P95" i="1" s="1"/>
  <c r="N96" i="1"/>
  <c r="P96" i="1" s="1"/>
  <c r="N97" i="1"/>
  <c r="P97" i="1" s="1"/>
  <c r="N98" i="1"/>
  <c r="P98" i="1" s="1"/>
  <c r="N99" i="1"/>
  <c r="P99" i="1" s="1"/>
  <c r="N100" i="1"/>
  <c r="P100" i="1" s="1"/>
  <c r="N101" i="1"/>
  <c r="P101" i="1" s="1"/>
  <c r="N102" i="1"/>
  <c r="P102" i="1" s="1"/>
  <c r="N103" i="1"/>
  <c r="P103" i="1" s="1"/>
  <c r="N104" i="1"/>
  <c r="P104" i="1" s="1"/>
  <c r="N105" i="1"/>
  <c r="P105" i="1" s="1"/>
  <c r="N106" i="1"/>
  <c r="P106" i="1" s="1"/>
  <c r="N107" i="1"/>
  <c r="P107" i="1" s="1"/>
  <c r="N108" i="1"/>
  <c r="P108" i="1" s="1"/>
  <c r="N109" i="1"/>
  <c r="P109" i="1" s="1"/>
  <c r="N110" i="1"/>
  <c r="P110" i="1" s="1"/>
  <c r="N111" i="1"/>
  <c r="P111" i="1" s="1"/>
  <c r="N112" i="1"/>
  <c r="P112" i="1" s="1"/>
  <c r="N113" i="1"/>
  <c r="P113" i="1" s="1"/>
  <c r="N114" i="1"/>
  <c r="P114" i="1" s="1"/>
  <c r="N115" i="1"/>
  <c r="P115" i="1" s="1"/>
  <c r="N116" i="1"/>
  <c r="P116" i="1" s="1"/>
  <c r="N117" i="1"/>
  <c r="P117" i="1" s="1"/>
  <c r="N118" i="1"/>
  <c r="P118" i="1" s="1"/>
  <c r="N119" i="1"/>
  <c r="P119" i="1" s="1"/>
  <c r="N120" i="1"/>
  <c r="P120" i="1" s="1"/>
  <c r="N121" i="1"/>
  <c r="P121" i="1" s="1"/>
  <c r="N122" i="1"/>
  <c r="P122" i="1" s="1"/>
  <c r="N123" i="1"/>
  <c r="P123" i="1" s="1"/>
  <c r="N124" i="1"/>
  <c r="P124" i="1" s="1"/>
  <c r="N125" i="1"/>
  <c r="P125" i="1" s="1"/>
  <c r="N126" i="1"/>
  <c r="P126" i="1" s="1"/>
  <c r="N127" i="1"/>
  <c r="P127" i="1" s="1"/>
  <c r="N128" i="1"/>
  <c r="P128" i="1" s="1"/>
  <c r="N129" i="1"/>
  <c r="P129" i="1" s="1"/>
  <c r="N130" i="1"/>
  <c r="P130" i="1" s="1"/>
  <c r="N131" i="1"/>
  <c r="P131" i="1" s="1"/>
  <c r="N132" i="1"/>
  <c r="P132" i="1" s="1"/>
  <c r="N133" i="1"/>
  <c r="P133" i="1" s="1"/>
  <c r="N134" i="1"/>
  <c r="P134" i="1" s="1"/>
  <c r="N135" i="1"/>
  <c r="P135" i="1" s="1"/>
  <c r="N136" i="1"/>
  <c r="P136" i="1" s="1"/>
  <c r="N137" i="1"/>
  <c r="P137" i="1" s="1"/>
  <c r="N138" i="1"/>
  <c r="P138" i="1" s="1"/>
  <c r="N139" i="1"/>
  <c r="P139" i="1" s="1"/>
  <c r="N140" i="1"/>
  <c r="P140" i="1" s="1"/>
  <c r="N141" i="1"/>
  <c r="P141" i="1" s="1"/>
  <c r="N142" i="1"/>
  <c r="P142" i="1" s="1"/>
  <c r="N143" i="1"/>
  <c r="P143" i="1" s="1"/>
  <c r="N144" i="1"/>
  <c r="P144" i="1" s="1"/>
  <c r="N145" i="1"/>
  <c r="P145" i="1" s="1"/>
  <c r="N146" i="1"/>
  <c r="P146" i="1" s="1"/>
  <c r="N147" i="1"/>
  <c r="P147" i="1" s="1"/>
  <c r="N148" i="1"/>
  <c r="P148" i="1" s="1"/>
  <c r="N149" i="1"/>
  <c r="P149" i="1" s="1"/>
  <c r="N150" i="1"/>
  <c r="P150" i="1" s="1"/>
  <c r="N151" i="1"/>
  <c r="P151" i="1" s="1"/>
  <c r="N152" i="1"/>
  <c r="P152" i="1" s="1"/>
  <c r="N153" i="1"/>
  <c r="P153" i="1" s="1"/>
  <c r="N154" i="1"/>
  <c r="P154" i="1" s="1"/>
  <c r="N155" i="1"/>
  <c r="P155" i="1" s="1"/>
  <c r="N156" i="1"/>
  <c r="P156" i="1" s="1"/>
  <c r="N157" i="1"/>
  <c r="P157" i="1" s="1"/>
  <c r="N158" i="1"/>
  <c r="P158" i="1" s="1"/>
  <c r="N159" i="1"/>
  <c r="P159" i="1" s="1"/>
  <c r="N160" i="1"/>
  <c r="P160" i="1" s="1"/>
  <c r="N161" i="1"/>
  <c r="P161" i="1" s="1"/>
  <c r="N162" i="1"/>
  <c r="P162" i="1" s="1"/>
  <c r="N163" i="1"/>
  <c r="P163" i="1" s="1"/>
  <c r="N164" i="1"/>
  <c r="P164" i="1" s="1"/>
  <c r="N165" i="1"/>
  <c r="P165" i="1" s="1"/>
  <c r="N166" i="1"/>
  <c r="P166" i="1" s="1"/>
  <c r="N167" i="1"/>
  <c r="P167" i="1" s="1"/>
  <c r="N168" i="1"/>
  <c r="P168" i="1" s="1"/>
  <c r="N169" i="1"/>
  <c r="P169" i="1" s="1"/>
  <c r="N170" i="1"/>
  <c r="P170" i="1" s="1"/>
  <c r="N171" i="1"/>
  <c r="P171" i="1" s="1"/>
  <c r="N172" i="1"/>
  <c r="P172" i="1" s="1"/>
  <c r="N173" i="1"/>
  <c r="P173" i="1" s="1"/>
  <c r="N174" i="1"/>
  <c r="P174" i="1" s="1"/>
  <c r="N175" i="1"/>
  <c r="P175" i="1" s="1"/>
  <c r="N176" i="1"/>
  <c r="P176" i="1" s="1"/>
  <c r="N177" i="1"/>
  <c r="P177" i="1" s="1"/>
  <c r="N178" i="1"/>
  <c r="P178" i="1" s="1"/>
  <c r="N179" i="1"/>
  <c r="P179" i="1" s="1"/>
  <c r="N180" i="1"/>
  <c r="P180" i="1" s="1"/>
  <c r="N181" i="1"/>
  <c r="P181" i="1" s="1"/>
  <c r="N182" i="1"/>
  <c r="P182" i="1" s="1"/>
  <c r="N183" i="1"/>
  <c r="P183" i="1" s="1"/>
  <c r="N184" i="1"/>
  <c r="P184" i="1" s="1"/>
  <c r="N185" i="1"/>
  <c r="P185" i="1" s="1"/>
  <c r="N186" i="1"/>
  <c r="P186" i="1" s="1"/>
  <c r="N187" i="1"/>
  <c r="P187" i="1" s="1"/>
  <c r="N188" i="1"/>
  <c r="P188" i="1" s="1"/>
  <c r="N189" i="1"/>
  <c r="P189" i="1" s="1"/>
  <c r="N190" i="1"/>
  <c r="P190" i="1" s="1"/>
  <c r="N191" i="1"/>
  <c r="P191" i="1" s="1"/>
  <c r="N192" i="1"/>
  <c r="P192" i="1" s="1"/>
  <c r="N193" i="1"/>
  <c r="P193" i="1" s="1"/>
  <c r="N194" i="1"/>
  <c r="P194" i="1" s="1"/>
  <c r="N195" i="1"/>
  <c r="P195" i="1" s="1"/>
  <c r="N196" i="1"/>
  <c r="P196" i="1" s="1"/>
  <c r="N197" i="1"/>
  <c r="P197" i="1" s="1"/>
  <c r="N198" i="1"/>
  <c r="P198" i="1" s="1"/>
  <c r="N199" i="1"/>
  <c r="P199" i="1" s="1"/>
  <c r="N200" i="1"/>
  <c r="P200" i="1" s="1"/>
  <c r="N201" i="1"/>
  <c r="P201" i="1" s="1"/>
  <c r="N202" i="1"/>
  <c r="P202" i="1" s="1"/>
  <c r="N203" i="1"/>
  <c r="P203" i="1" s="1"/>
  <c r="N204" i="1"/>
  <c r="P204" i="1" s="1"/>
  <c r="N205" i="1"/>
  <c r="P205" i="1" s="1"/>
  <c r="N206" i="1"/>
  <c r="P206" i="1" s="1"/>
  <c r="N207" i="1"/>
  <c r="P207" i="1" s="1"/>
  <c r="N208" i="1"/>
  <c r="P208" i="1" s="1"/>
  <c r="N209" i="1"/>
  <c r="P209" i="1" s="1"/>
  <c r="N210" i="1"/>
  <c r="P210" i="1" s="1"/>
  <c r="N211" i="1"/>
  <c r="P211" i="1" s="1"/>
  <c r="N212" i="1"/>
  <c r="P212" i="1" s="1"/>
  <c r="N213" i="1"/>
  <c r="P213" i="1" s="1"/>
  <c r="N214" i="1"/>
  <c r="P214" i="1" s="1"/>
  <c r="N215" i="1"/>
  <c r="P215" i="1" s="1"/>
  <c r="N216" i="1"/>
  <c r="P216" i="1" s="1"/>
  <c r="N217" i="1"/>
  <c r="P217" i="1" s="1"/>
  <c r="N218" i="1"/>
  <c r="P218" i="1" s="1"/>
  <c r="N219" i="1"/>
  <c r="P219" i="1" s="1"/>
  <c r="N220" i="1"/>
  <c r="P220" i="1" s="1"/>
  <c r="N221" i="1"/>
  <c r="P221" i="1" s="1"/>
  <c r="N222" i="1"/>
  <c r="P222" i="1" s="1"/>
  <c r="N223" i="1"/>
  <c r="P223" i="1" s="1"/>
  <c r="N224" i="1"/>
  <c r="P224" i="1" s="1"/>
  <c r="N225" i="1"/>
  <c r="P225" i="1" s="1"/>
  <c r="N226" i="1"/>
  <c r="P226" i="1" s="1"/>
  <c r="N227" i="1"/>
  <c r="P227" i="1" s="1"/>
  <c r="N228" i="1"/>
  <c r="P228" i="1" s="1"/>
  <c r="N229" i="1"/>
  <c r="P229" i="1" s="1"/>
  <c r="N230" i="1"/>
  <c r="P230" i="1" s="1"/>
  <c r="N231" i="1"/>
  <c r="P231" i="1" s="1"/>
  <c r="N232" i="1"/>
  <c r="P232" i="1" s="1"/>
  <c r="N233" i="1"/>
  <c r="P233" i="1" s="1"/>
  <c r="N234" i="1"/>
  <c r="P234" i="1" s="1"/>
  <c r="N235" i="1"/>
  <c r="P235" i="1" s="1"/>
  <c r="N236" i="1"/>
  <c r="P236" i="1" s="1"/>
  <c r="N237" i="1"/>
  <c r="P237" i="1" s="1"/>
  <c r="N238" i="1"/>
  <c r="P238" i="1" s="1"/>
  <c r="N239" i="1"/>
  <c r="P239" i="1" s="1"/>
  <c r="N240" i="1"/>
  <c r="P240" i="1" s="1"/>
  <c r="N241" i="1"/>
  <c r="P241" i="1" s="1"/>
  <c r="N242" i="1"/>
  <c r="P242" i="1" s="1"/>
  <c r="N243" i="1"/>
  <c r="P243" i="1" s="1"/>
  <c r="N244" i="1"/>
  <c r="P244" i="1" s="1"/>
  <c r="N245" i="1"/>
  <c r="P245" i="1" s="1"/>
  <c r="N246" i="1"/>
  <c r="P246" i="1" s="1"/>
  <c r="N247" i="1"/>
  <c r="P247" i="1" s="1"/>
  <c r="N248" i="1"/>
  <c r="P248" i="1" s="1"/>
  <c r="N249" i="1"/>
  <c r="P249" i="1" s="1"/>
  <c r="N250" i="1"/>
  <c r="P250" i="1" s="1"/>
  <c r="N251" i="1"/>
  <c r="P251" i="1" s="1"/>
  <c r="N252" i="1"/>
  <c r="P252" i="1" s="1"/>
  <c r="N253" i="1"/>
  <c r="P253" i="1" s="1"/>
  <c r="N254" i="1"/>
  <c r="P254" i="1" s="1"/>
  <c r="N255" i="1"/>
  <c r="P255" i="1" s="1"/>
  <c r="N256" i="1"/>
  <c r="P256" i="1" s="1"/>
  <c r="N257" i="1"/>
  <c r="P257" i="1" s="1"/>
  <c r="N258" i="1"/>
  <c r="P258" i="1" s="1"/>
  <c r="N259" i="1"/>
  <c r="P259" i="1" s="1"/>
  <c r="N260" i="1"/>
  <c r="P260" i="1" s="1"/>
  <c r="N261" i="1"/>
  <c r="P261" i="1" s="1"/>
  <c r="N262" i="1"/>
  <c r="P262" i="1" s="1"/>
  <c r="N263" i="1"/>
  <c r="P263" i="1" s="1"/>
  <c r="N264" i="1"/>
  <c r="P264" i="1" s="1"/>
  <c r="N265" i="1"/>
  <c r="P265" i="1" s="1"/>
  <c r="N266" i="1"/>
  <c r="P266" i="1" s="1"/>
  <c r="N267" i="1"/>
  <c r="P267" i="1" s="1"/>
  <c r="N268" i="1"/>
  <c r="P268" i="1" s="1"/>
  <c r="N269" i="1"/>
  <c r="P269" i="1" s="1"/>
  <c r="N270" i="1"/>
  <c r="P270" i="1" s="1"/>
  <c r="N271" i="1"/>
  <c r="P271" i="1" s="1"/>
  <c r="N272" i="1"/>
  <c r="P272" i="1" s="1"/>
  <c r="N273" i="1"/>
  <c r="P273" i="1" s="1"/>
  <c r="N274" i="1"/>
  <c r="P274" i="1" s="1"/>
  <c r="N275" i="1"/>
  <c r="P275" i="1" s="1"/>
  <c r="N276" i="1"/>
  <c r="P276" i="1" s="1"/>
  <c r="N277" i="1"/>
  <c r="P277" i="1" s="1"/>
  <c r="N278" i="1"/>
  <c r="P278" i="1" s="1"/>
  <c r="N279" i="1"/>
  <c r="P279" i="1" s="1"/>
  <c r="N280" i="1"/>
  <c r="P280" i="1" s="1"/>
  <c r="N281" i="1"/>
  <c r="P281" i="1" s="1"/>
  <c r="N282" i="1"/>
  <c r="P282" i="1" s="1"/>
  <c r="N283" i="1"/>
  <c r="P283" i="1" s="1"/>
  <c r="N284" i="1"/>
  <c r="P284" i="1" s="1"/>
  <c r="N285" i="1"/>
  <c r="P285" i="1" s="1"/>
  <c r="N286" i="1"/>
  <c r="P286" i="1" s="1"/>
  <c r="N287" i="1"/>
  <c r="P287" i="1" s="1"/>
  <c r="N288" i="1"/>
  <c r="P288" i="1" s="1"/>
  <c r="N289" i="1"/>
  <c r="P289" i="1" s="1"/>
  <c r="N290" i="1"/>
  <c r="P290" i="1" s="1"/>
  <c r="N291" i="1"/>
  <c r="P291" i="1" s="1"/>
  <c r="N292" i="1"/>
  <c r="P292" i="1" s="1"/>
  <c r="N293" i="1"/>
  <c r="P293" i="1" s="1"/>
  <c r="N294" i="1"/>
  <c r="P294" i="1" s="1"/>
  <c r="N295" i="1"/>
  <c r="P295" i="1" s="1"/>
  <c r="N296" i="1"/>
  <c r="P296" i="1" s="1"/>
  <c r="N297" i="1"/>
  <c r="P297" i="1" s="1"/>
  <c r="N298" i="1"/>
  <c r="P298" i="1" s="1"/>
  <c r="N299" i="1"/>
  <c r="P299" i="1" s="1"/>
  <c r="N300" i="1"/>
  <c r="P300" i="1" s="1"/>
  <c r="N301" i="1"/>
  <c r="P301" i="1" s="1"/>
  <c r="N302" i="1"/>
  <c r="P302" i="1" s="1"/>
  <c r="N303" i="1"/>
  <c r="P303" i="1" s="1"/>
  <c r="N304" i="1"/>
  <c r="P304" i="1" s="1"/>
  <c r="N305" i="1"/>
  <c r="P305" i="1" s="1"/>
  <c r="N306" i="1"/>
  <c r="P306" i="1" s="1"/>
  <c r="N307" i="1"/>
  <c r="P307" i="1" s="1"/>
  <c r="N308" i="1"/>
  <c r="P308" i="1" s="1"/>
  <c r="N309" i="1"/>
  <c r="P309" i="1" s="1"/>
  <c r="N310" i="1"/>
  <c r="P310" i="1" s="1"/>
  <c r="N311" i="1"/>
  <c r="P311" i="1" s="1"/>
  <c r="N312" i="1"/>
  <c r="P312" i="1" s="1"/>
  <c r="N313" i="1"/>
  <c r="P313" i="1" s="1"/>
  <c r="N314" i="1"/>
  <c r="P314" i="1" s="1"/>
  <c r="N315" i="1"/>
  <c r="P315" i="1" s="1"/>
  <c r="N316" i="1"/>
  <c r="P316" i="1" s="1"/>
  <c r="N317" i="1"/>
  <c r="P317" i="1" s="1"/>
  <c r="N318" i="1"/>
  <c r="P318" i="1" s="1"/>
  <c r="N319" i="1"/>
  <c r="P319" i="1" s="1"/>
  <c r="N320" i="1"/>
  <c r="P320" i="1" s="1"/>
  <c r="N321" i="1"/>
  <c r="P321" i="1" s="1"/>
  <c r="N322" i="1"/>
  <c r="P322" i="1" s="1"/>
  <c r="N323" i="1"/>
  <c r="P323" i="1" s="1"/>
  <c r="N324" i="1"/>
  <c r="P324" i="1" s="1"/>
  <c r="N325" i="1"/>
  <c r="P325" i="1" s="1"/>
  <c r="N326" i="1"/>
  <c r="P326" i="1" s="1"/>
  <c r="N327" i="1"/>
  <c r="P327" i="1" s="1"/>
  <c r="N328" i="1"/>
  <c r="P328" i="1" s="1"/>
  <c r="N329" i="1"/>
  <c r="P329" i="1" s="1"/>
  <c r="N330" i="1"/>
  <c r="P330" i="1" s="1"/>
  <c r="N331" i="1"/>
  <c r="P331" i="1" s="1"/>
  <c r="N332" i="1"/>
  <c r="P332" i="1" s="1"/>
  <c r="N333" i="1"/>
  <c r="P333" i="1" s="1"/>
  <c r="N334" i="1"/>
  <c r="P334" i="1" s="1"/>
  <c r="N335" i="1"/>
  <c r="P335" i="1" s="1"/>
  <c r="N336" i="1"/>
  <c r="P336" i="1" s="1"/>
  <c r="N337" i="1"/>
  <c r="P337" i="1" s="1"/>
  <c r="N338" i="1"/>
  <c r="P338" i="1" s="1"/>
  <c r="N339" i="1"/>
  <c r="P339" i="1" s="1"/>
  <c r="N340" i="1"/>
  <c r="P340" i="1" s="1"/>
  <c r="N341" i="1"/>
  <c r="P341" i="1" s="1"/>
  <c r="N342" i="1"/>
  <c r="P342" i="1" s="1"/>
  <c r="N343" i="1"/>
  <c r="P343" i="1" s="1"/>
  <c r="N344" i="1"/>
  <c r="P344" i="1" s="1"/>
  <c r="N345" i="1"/>
  <c r="P345" i="1" s="1"/>
  <c r="N346" i="1"/>
  <c r="P346" i="1" s="1"/>
  <c r="N347" i="1"/>
  <c r="P347" i="1" s="1"/>
  <c r="N348" i="1"/>
  <c r="P348" i="1" s="1"/>
  <c r="N349" i="1"/>
  <c r="P349" i="1" s="1"/>
  <c r="N350" i="1"/>
  <c r="P350" i="1" s="1"/>
  <c r="N351" i="1"/>
  <c r="P351" i="1" s="1"/>
  <c r="N352" i="1"/>
  <c r="P352" i="1" s="1"/>
  <c r="N353" i="1"/>
  <c r="P353" i="1" s="1"/>
  <c r="N354" i="1"/>
  <c r="P354" i="1" s="1"/>
  <c r="N355" i="1"/>
  <c r="P355" i="1" s="1"/>
  <c r="N356" i="1"/>
  <c r="P356" i="1" s="1"/>
  <c r="N357" i="1"/>
  <c r="P357" i="1" s="1"/>
  <c r="N358" i="1"/>
  <c r="P358" i="1" s="1"/>
  <c r="N359" i="1"/>
  <c r="P359" i="1" s="1"/>
  <c r="N360" i="1"/>
  <c r="P360" i="1" s="1"/>
  <c r="N361" i="1"/>
  <c r="P361" i="1" s="1"/>
  <c r="N362" i="1"/>
  <c r="P362" i="1" s="1"/>
  <c r="N363" i="1"/>
  <c r="P363" i="1" s="1"/>
  <c r="N364" i="1"/>
  <c r="P364" i="1" s="1"/>
  <c r="N365" i="1"/>
  <c r="P365" i="1" s="1"/>
  <c r="N366" i="1"/>
  <c r="P366" i="1" s="1"/>
  <c r="N367" i="1"/>
  <c r="P367" i="1" s="1"/>
  <c r="N368" i="1"/>
  <c r="P368" i="1" s="1"/>
  <c r="N369" i="1"/>
  <c r="P369" i="1" s="1"/>
  <c r="N370" i="1"/>
  <c r="P370" i="1" s="1"/>
  <c r="N371" i="1"/>
  <c r="P371" i="1" s="1"/>
  <c r="N372" i="1"/>
  <c r="P372" i="1" s="1"/>
  <c r="N373" i="1"/>
  <c r="P373" i="1" s="1"/>
  <c r="N374" i="1"/>
  <c r="P374" i="1" s="1"/>
  <c r="N375" i="1"/>
  <c r="P375" i="1" s="1"/>
  <c r="N376" i="1"/>
  <c r="P376" i="1" s="1"/>
  <c r="N377" i="1"/>
  <c r="P377" i="1" s="1"/>
  <c r="N378" i="1"/>
  <c r="P378" i="1" s="1"/>
  <c r="N379" i="1"/>
  <c r="P379" i="1" s="1"/>
  <c r="N380" i="1"/>
  <c r="P380" i="1" s="1"/>
  <c r="N381" i="1"/>
  <c r="P381" i="1" s="1"/>
  <c r="N382" i="1"/>
  <c r="P382" i="1" s="1"/>
  <c r="N383" i="1"/>
  <c r="P383" i="1" s="1"/>
  <c r="N384" i="1"/>
  <c r="P384" i="1" s="1"/>
  <c r="N385" i="1"/>
  <c r="P385" i="1" s="1"/>
  <c r="N386" i="1"/>
  <c r="P386" i="1" s="1"/>
  <c r="N387" i="1"/>
  <c r="P387" i="1" s="1"/>
  <c r="N388" i="1"/>
  <c r="P388" i="1" s="1"/>
  <c r="N389" i="1"/>
  <c r="P389" i="1" s="1"/>
  <c r="N390" i="1"/>
  <c r="P390" i="1" s="1"/>
  <c r="N391" i="1"/>
  <c r="P391" i="1" s="1"/>
  <c r="N392" i="1"/>
  <c r="P392" i="1" s="1"/>
  <c r="N393" i="1"/>
  <c r="P393" i="1" s="1"/>
  <c r="N394" i="1"/>
  <c r="P394" i="1" s="1"/>
  <c r="N395" i="1"/>
  <c r="P395" i="1" s="1"/>
  <c r="N396" i="1"/>
  <c r="P396" i="1" s="1"/>
  <c r="N397" i="1"/>
  <c r="P397" i="1" s="1"/>
  <c r="N398" i="1"/>
  <c r="P398" i="1" s="1"/>
  <c r="N399" i="1"/>
  <c r="P399" i="1" s="1"/>
  <c r="N400" i="1"/>
  <c r="P400" i="1" s="1"/>
  <c r="N401" i="1"/>
  <c r="P401" i="1" s="1"/>
  <c r="N402" i="1"/>
  <c r="P402" i="1" s="1"/>
  <c r="N403" i="1"/>
  <c r="P403" i="1" s="1"/>
  <c r="N404" i="1"/>
  <c r="P404" i="1" s="1"/>
  <c r="N405" i="1"/>
  <c r="P405" i="1" s="1"/>
  <c r="N406" i="1"/>
  <c r="P406" i="1" s="1"/>
  <c r="N407" i="1"/>
  <c r="P407" i="1" s="1"/>
  <c r="N408" i="1"/>
  <c r="P408" i="1" s="1"/>
  <c r="N409" i="1"/>
  <c r="P409" i="1" s="1"/>
  <c r="N410" i="1"/>
  <c r="P410" i="1" s="1"/>
  <c r="N411" i="1"/>
  <c r="P411" i="1" s="1"/>
  <c r="N412" i="1"/>
  <c r="P412" i="1" s="1"/>
  <c r="N413" i="1"/>
  <c r="P413" i="1" s="1"/>
  <c r="N414" i="1"/>
  <c r="P414" i="1" s="1"/>
  <c r="N415" i="1"/>
  <c r="P415" i="1" s="1"/>
  <c r="N416" i="1"/>
  <c r="P416" i="1" s="1"/>
  <c r="N417" i="1"/>
  <c r="P417" i="1" s="1"/>
  <c r="N418" i="1"/>
  <c r="P418" i="1" s="1"/>
  <c r="N419" i="1"/>
  <c r="P419" i="1" s="1"/>
  <c r="N420" i="1"/>
  <c r="P420" i="1" s="1"/>
  <c r="N421" i="1"/>
  <c r="P421" i="1" s="1"/>
  <c r="N422" i="1"/>
  <c r="P422" i="1" s="1"/>
  <c r="N423" i="1"/>
  <c r="P423" i="1" s="1"/>
  <c r="N424" i="1"/>
  <c r="P424" i="1" s="1"/>
  <c r="N425" i="1"/>
  <c r="P425" i="1" s="1"/>
  <c r="N426" i="1"/>
  <c r="P426" i="1" s="1"/>
  <c r="N427" i="1"/>
  <c r="P427" i="1" s="1"/>
  <c r="N428" i="1"/>
  <c r="P428" i="1" s="1"/>
  <c r="N429" i="1"/>
  <c r="P429" i="1" s="1"/>
  <c r="N430" i="1"/>
  <c r="P430" i="1" s="1"/>
  <c r="N431" i="1"/>
  <c r="P431" i="1" s="1"/>
  <c r="N432" i="1"/>
  <c r="P432" i="1" s="1"/>
  <c r="N433" i="1"/>
  <c r="P433" i="1" s="1"/>
  <c r="N434" i="1"/>
  <c r="P434" i="1" s="1"/>
  <c r="N435" i="1"/>
  <c r="P435" i="1" s="1"/>
  <c r="N436" i="1"/>
  <c r="P436" i="1" s="1"/>
  <c r="N437" i="1"/>
  <c r="P437" i="1" s="1"/>
  <c r="N438" i="1"/>
  <c r="P438" i="1" s="1"/>
  <c r="N439" i="1"/>
  <c r="P439" i="1" s="1"/>
  <c r="N440" i="1"/>
  <c r="P440" i="1" s="1"/>
  <c r="N441" i="1"/>
  <c r="P441" i="1" s="1"/>
  <c r="N442" i="1"/>
  <c r="P442" i="1" s="1"/>
  <c r="N443" i="1"/>
  <c r="P443" i="1" s="1"/>
  <c r="N444" i="1"/>
  <c r="P444" i="1" s="1"/>
  <c r="N445" i="1"/>
  <c r="P445" i="1" s="1"/>
  <c r="N446" i="1"/>
  <c r="P446" i="1" s="1"/>
  <c r="N447" i="1"/>
  <c r="P447" i="1" s="1"/>
  <c r="N448" i="1"/>
  <c r="P448" i="1" s="1"/>
  <c r="N449" i="1"/>
  <c r="P449" i="1" s="1"/>
  <c r="N450" i="1"/>
  <c r="P450" i="1" s="1"/>
  <c r="N451" i="1"/>
  <c r="P451" i="1" s="1"/>
  <c r="N452" i="1"/>
  <c r="P452" i="1" s="1"/>
  <c r="N453" i="1"/>
  <c r="P453" i="1" s="1"/>
  <c r="N454" i="1"/>
  <c r="P454" i="1" s="1"/>
  <c r="N455" i="1"/>
  <c r="P455" i="1" s="1"/>
  <c r="N456" i="1"/>
  <c r="P456" i="1" s="1"/>
  <c r="N457" i="1"/>
  <c r="P457" i="1" s="1"/>
  <c r="N458" i="1"/>
  <c r="P458" i="1" s="1"/>
  <c r="N459" i="1"/>
  <c r="P459" i="1" s="1"/>
  <c r="N460" i="1"/>
  <c r="P460" i="1" s="1"/>
  <c r="N461" i="1"/>
  <c r="P461" i="1" s="1"/>
  <c r="N462" i="1"/>
  <c r="P462" i="1" s="1"/>
  <c r="N463" i="1"/>
  <c r="P463" i="1" s="1"/>
  <c r="N464" i="1"/>
  <c r="P464" i="1" s="1"/>
  <c r="N465" i="1"/>
  <c r="P465" i="1" s="1"/>
  <c r="N466" i="1"/>
  <c r="P466" i="1" s="1"/>
  <c r="N467" i="1"/>
  <c r="P467" i="1" s="1"/>
  <c r="N468" i="1"/>
  <c r="P468" i="1" s="1"/>
  <c r="N469" i="1"/>
  <c r="P469" i="1" s="1"/>
  <c r="N470" i="1"/>
  <c r="P470" i="1" s="1"/>
  <c r="N471" i="1"/>
  <c r="P471" i="1" s="1"/>
  <c r="N472" i="1"/>
  <c r="P472" i="1" s="1"/>
  <c r="N473" i="1"/>
  <c r="P473" i="1" s="1"/>
  <c r="N474" i="1"/>
  <c r="P474" i="1" s="1"/>
  <c r="N475" i="1"/>
  <c r="P475" i="1" s="1"/>
  <c r="N476" i="1"/>
  <c r="P476" i="1" s="1"/>
  <c r="N477" i="1"/>
  <c r="P477" i="1" s="1"/>
  <c r="N478" i="1"/>
  <c r="P478" i="1" s="1"/>
  <c r="N479" i="1"/>
  <c r="P479" i="1" s="1"/>
  <c r="N480" i="1"/>
  <c r="P480" i="1" s="1"/>
  <c r="N481" i="1"/>
  <c r="P481" i="1" s="1"/>
  <c r="N482" i="1"/>
  <c r="P482" i="1" s="1"/>
  <c r="N483" i="1"/>
  <c r="P483" i="1" s="1"/>
  <c r="N484" i="1"/>
  <c r="P484" i="1" s="1"/>
  <c r="N485" i="1"/>
  <c r="P485" i="1" s="1"/>
  <c r="N486" i="1"/>
  <c r="P486" i="1" s="1"/>
  <c r="N487" i="1"/>
  <c r="P487" i="1" s="1"/>
  <c r="N488" i="1"/>
  <c r="P488" i="1" s="1"/>
  <c r="N489" i="1"/>
  <c r="P489" i="1" s="1"/>
  <c r="N490" i="1"/>
  <c r="P490" i="1" s="1"/>
  <c r="N491" i="1"/>
  <c r="P491" i="1" s="1"/>
  <c r="N492" i="1"/>
  <c r="P492" i="1" s="1"/>
  <c r="N493" i="1"/>
  <c r="P493" i="1" s="1"/>
  <c r="N494" i="1"/>
  <c r="P494" i="1" s="1"/>
  <c r="N495" i="1"/>
  <c r="P495" i="1" s="1"/>
  <c r="N496" i="1"/>
  <c r="P496" i="1" s="1"/>
  <c r="N497" i="1"/>
  <c r="P497" i="1" s="1"/>
  <c r="N498" i="1"/>
  <c r="P498" i="1" s="1"/>
  <c r="N499" i="1"/>
  <c r="P499" i="1" s="1"/>
  <c r="N500" i="1"/>
  <c r="P500" i="1" s="1"/>
  <c r="N501" i="1"/>
  <c r="P501" i="1" s="1"/>
  <c r="N502" i="1"/>
  <c r="P502" i="1" s="1"/>
  <c r="N503" i="1"/>
  <c r="P503" i="1" s="1"/>
  <c r="N504" i="1"/>
  <c r="P504" i="1" s="1"/>
  <c r="N505" i="1"/>
  <c r="P505" i="1" s="1"/>
  <c r="N506" i="1"/>
  <c r="P506" i="1" s="1"/>
  <c r="N507" i="1"/>
  <c r="P507" i="1" s="1"/>
  <c r="N508" i="1"/>
  <c r="P508" i="1" s="1"/>
  <c r="N509" i="1"/>
  <c r="P509" i="1" s="1"/>
  <c r="N510" i="1"/>
  <c r="P510" i="1" s="1"/>
  <c r="N511" i="1"/>
  <c r="P511" i="1" s="1"/>
  <c r="N512" i="1"/>
  <c r="P512" i="1" s="1"/>
  <c r="N513" i="1"/>
  <c r="P513" i="1" s="1"/>
  <c r="N514" i="1"/>
  <c r="P514" i="1" s="1"/>
  <c r="N515" i="1"/>
  <c r="P515" i="1" s="1"/>
  <c r="N516" i="1"/>
  <c r="P516" i="1" s="1"/>
  <c r="N517" i="1"/>
  <c r="P517" i="1" s="1"/>
  <c r="N518" i="1"/>
  <c r="P518" i="1" s="1"/>
  <c r="N519" i="1"/>
  <c r="P519" i="1" s="1"/>
  <c r="N520" i="1"/>
  <c r="P520" i="1" s="1"/>
  <c r="N521" i="1"/>
  <c r="P521" i="1" s="1"/>
  <c r="N522" i="1"/>
  <c r="P522" i="1" s="1"/>
  <c r="N523" i="1"/>
  <c r="P523" i="1" s="1"/>
  <c r="N524" i="1"/>
  <c r="P524" i="1" s="1"/>
  <c r="N525" i="1"/>
  <c r="P525" i="1" s="1"/>
  <c r="N526" i="1"/>
  <c r="P526" i="1" s="1"/>
  <c r="N527" i="1"/>
  <c r="P527" i="1" s="1"/>
  <c r="N528" i="1"/>
  <c r="P528" i="1" s="1"/>
  <c r="N529" i="1"/>
  <c r="P529" i="1" s="1"/>
  <c r="N530" i="1"/>
  <c r="P530" i="1" s="1"/>
  <c r="N531" i="1"/>
  <c r="P531" i="1" s="1"/>
  <c r="N532" i="1"/>
  <c r="P532" i="1" s="1"/>
  <c r="N533" i="1"/>
  <c r="P533" i="1" s="1"/>
  <c r="N534" i="1"/>
  <c r="P534" i="1" s="1"/>
  <c r="N535" i="1"/>
  <c r="P535" i="1" s="1"/>
  <c r="N536" i="1"/>
  <c r="P536" i="1" s="1"/>
  <c r="N537" i="1"/>
  <c r="P537" i="1" s="1"/>
  <c r="N538" i="1"/>
  <c r="P538" i="1" s="1"/>
  <c r="N539" i="1"/>
  <c r="P539" i="1" s="1"/>
  <c r="N540" i="1"/>
  <c r="P540" i="1" s="1"/>
  <c r="N541" i="1"/>
  <c r="P541" i="1" s="1"/>
  <c r="N542" i="1"/>
  <c r="P542" i="1" s="1"/>
  <c r="N543" i="1"/>
  <c r="P543" i="1" s="1"/>
  <c r="N544" i="1"/>
  <c r="P544" i="1" s="1"/>
  <c r="N545" i="1"/>
  <c r="P545" i="1" s="1"/>
  <c r="N546" i="1"/>
  <c r="P546" i="1" s="1"/>
  <c r="N547" i="1"/>
  <c r="P547" i="1" s="1"/>
  <c r="N548" i="1"/>
  <c r="P548" i="1" s="1"/>
  <c r="N549" i="1"/>
  <c r="P549" i="1" s="1"/>
  <c r="N550" i="1"/>
  <c r="P550" i="1" s="1"/>
  <c r="N551" i="1"/>
  <c r="P551" i="1" s="1"/>
  <c r="N552" i="1"/>
  <c r="P552" i="1" s="1"/>
  <c r="N553" i="1"/>
  <c r="P553" i="1" s="1"/>
  <c r="N554" i="1"/>
  <c r="P554" i="1" s="1"/>
  <c r="N555" i="1"/>
  <c r="P555" i="1" s="1"/>
  <c r="N556" i="1"/>
  <c r="P556" i="1" s="1"/>
  <c r="N557" i="1"/>
  <c r="P557" i="1" s="1"/>
  <c r="N558" i="1"/>
  <c r="P558" i="1" s="1"/>
  <c r="N559" i="1"/>
  <c r="P559" i="1" s="1"/>
  <c r="N560" i="1"/>
  <c r="P560" i="1" s="1"/>
  <c r="N561" i="1"/>
  <c r="P561" i="1" s="1"/>
  <c r="N562" i="1"/>
  <c r="P562" i="1" s="1"/>
  <c r="N563" i="1"/>
  <c r="P563" i="1" s="1"/>
  <c r="N564" i="1"/>
  <c r="P564" i="1" s="1"/>
  <c r="N565" i="1"/>
  <c r="P565" i="1" s="1"/>
  <c r="N566" i="1"/>
  <c r="P566" i="1" s="1"/>
  <c r="N567" i="1"/>
  <c r="P567" i="1" s="1"/>
  <c r="N568" i="1"/>
  <c r="P568" i="1" s="1"/>
  <c r="N569" i="1"/>
  <c r="P569" i="1" s="1"/>
  <c r="N570" i="1"/>
  <c r="P570" i="1" s="1"/>
  <c r="N571" i="1"/>
  <c r="P571" i="1" s="1"/>
  <c r="N572" i="1"/>
  <c r="P572" i="1" s="1"/>
  <c r="N573" i="1"/>
  <c r="P573" i="1" s="1"/>
  <c r="N574" i="1"/>
  <c r="P574" i="1" s="1"/>
  <c r="N575" i="1"/>
  <c r="P575" i="1" s="1"/>
  <c r="N576" i="1"/>
  <c r="P576" i="1" s="1"/>
  <c r="N577" i="1"/>
  <c r="P577" i="1" s="1"/>
  <c r="N578" i="1"/>
  <c r="P578" i="1" s="1"/>
  <c r="N579" i="1"/>
  <c r="P579" i="1" s="1"/>
  <c r="N580" i="1"/>
  <c r="P580" i="1" s="1"/>
  <c r="N581" i="1"/>
  <c r="P581" i="1" s="1"/>
  <c r="N582" i="1"/>
  <c r="P582" i="1" s="1"/>
  <c r="N583" i="1"/>
  <c r="P583" i="1" s="1"/>
  <c r="N584" i="1"/>
  <c r="P584" i="1" s="1"/>
  <c r="N585" i="1"/>
  <c r="P585" i="1" s="1"/>
  <c r="N586" i="1"/>
  <c r="P586" i="1" s="1"/>
  <c r="N587" i="1"/>
  <c r="P587" i="1" s="1"/>
  <c r="N588" i="1"/>
  <c r="P588" i="1" s="1"/>
  <c r="N589" i="1"/>
  <c r="P589" i="1" s="1"/>
  <c r="N590" i="1"/>
  <c r="P590" i="1" s="1"/>
  <c r="N591" i="1"/>
  <c r="P591" i="1" s="1"/>
  <c r="N592" i="1"/>
  <c r="P592" i="1" s="1"/>
  <c r="N593" i="1"/>
  <c r="P593" i="1" s="1"/>
  <c r="N594" i="1"/>
  <c r="P594" i="1" s="1"/>
  <c r="N595" i="1"/>
  <c r="P595" i="1" s="1"/>
  <c r="N596" i="1"/>
  <c r="P596" i="1" s="1"/>
  <c r="N597" i="1"/>
  <c r="P597" i="1" s="1"/>
  <c r="N598" i="1"/>
  <c r="P598" i="1" s="1"/>
  <c r="N599" i="1"/>
  <c r="P599" i="1" s="1"/>
  <c r="N600" i="1"/>
  <c r="P600" i="1" s="1"/>
  <c r="N601" i="1"/>
  <c r="P601" i="1" s="1"/>
  <c r="N602" i="1"/>
  <c r="P602" i="1" s="1"/>
  <c r="N603" i="1"/>
  <c r="P603" i="1" s="1"/>
  <c r="N604" i="1"/>
  <c r="P604" i="1" s="1"/>
  <c r="N605" i="1"/>
  <c r="P605" i="1" s="1"/>
  <c r="N606" i="1"/>
  <c r="P606" i="1" s="1"/>
  <c r="N607" i="1"/>
  <c r="P607" i="1" s="1"/>
  <c r="N608" i="1"/>
  <c r="P608" i="1" s="1"/>
  <c r="N609" i="1"/>
  <c r="P609" i="1" s="1"/>
  <c r="N610" i="1"/>
  <c r="P610" i="1" s="1"/>
  <c r="N611" i="1"/>
  <c r="P611" i="1" s="1"/>
  <c r="N612" i="1"/>
  <c r="P612" i="1" s="1"/>
  <c r="N613" i="1"/>
  <c r="P613" i="1" s="1"/>
  <c r="N614" i="1"/>
  <c r="P614" i="1" s="1"/>
  <c r="N615" i="1"/>
  <c r="P615" i="1" s="1"/>
  <c r="N616" i="1"/>
  <c r="P616" i="1" s="1"/>
  <c r="N617" i="1"/>
  <c r="P617" i="1" s="1"/>
  <c r="N618" i="1"/>
  <c r="P618" i="1" s="1"/>
  <c r="N619" i="1"/>
  <c r="P619" i="1" s="1"/>
  <c r="N620" i="1"/>
  <c r="P620" i="1" s="1"/>
  <c r="N621" i="1"/>
  <c r="P621" i="1" s="1"/>
  <c r="N622" i="1"/>
  <c r="P622" i="1" s="1"/>
  <c r="N623" i="1"/>
  <c r="P623" i="1" s="1"/>
  <c r="N624" i="1"/>
  <c r="P624" i="1" s="1"/>
  <c r="N625" i="1"/>
  <c r="P625" i="1" s="1"/>
  <c r="N626" i="1"/>
  <c r="P626" i="1" s="1"/>
  <c r="N627" i="1"/>
  <c r="P627" i="1" s="1"/>
  <c r="N628" i="1"/>
  <c r="P628" i="1" s="1"/>
  <c r="N629" i="1"/>
  <c r="P629" i="1" s="1"/>
  <c r="N630" i="1"/>
  <c r="P630" i="1" s="1"/>
  <c r="N631" i="1"/>
  <c r="P631" i="1" s="1"/>
  <c r="N632" i="1"/>
  <c r="P632" i="1" s="1"/>
  <c r="N633" i="1"/>
  <c r="P633" i="1" s="1"/>
  <c r="N634" i="1"/>
  <c r="P634" i="1" s="1"/>
  <c r="N635" i="1"/>
  <c r="P635" i="1" s="1"/>
  <c r="N636" i="1"/>
  <c r="P636" i="1" s="1"/>
  <c r="N637" i="1"/>
  <c r="P637" i="1" s="1"/>
  <c r="N638" i="1"/>
  <c r="P638" i="1" s="1"/>
  <c r="N639" i="1"/>
  <c r="P639" i="1" s="1"/>
  <c r="N640" i="1"/>
  <c r="P640" i="1" s="1"/>
  <c r="N641" i="1"/>
  <c r="P641" i="1" s="1"/>
  <c r="N642" i="1"/>
  <c r="P642" i="1" s="1"/>
  <c r="N643" i="1"/>
  <c r="P643" i="1" s="1"/>
  <c r="N644" i="1"/>
  <c r="P644" i="1" s="1"/>
  <c r="N645" i="1"/>
  <c r="P645" i="1" s="1"/>
  <c r="N646" i="1"/>
  <c r="P646" i="1" s="1"/>
  <c r="N647" i="1"/>
  <c r="P647" i="1" s="1"/>
  <c r="N648" i="1"/>
  <c r="P648" i="1" s="1"/>
  <c r="N649" i="1"/>
  <c r="P649" i="1" s="1"/>
  <c r="N650" i="1"/>
  <c r="P650" i="1" s="1"/>
  <c r="N651" i="1"/>
  <c r="P651" i="1" s="1"/>
  <c r="N652" i="1"/>
  <c r="P652" i="1" s="1"/>
  <c r="N653" i="1"/>
  <c r="P653" i="1" s="1"/>
  <c r="N654" i="1"/>
  <c r="P654" i="1" s="1"/>
  <c r="N655" i="1"/>
  <c r="P655" i="1" s="1"/>
  <c r="N656" i="1"/>
  <c r="P656" i="1" s="1"/>
  <c r="N657" i="1"/>
  <c r="P657" i="1" s="1"/>
  <c r="N658" i="1"/>
  <c r="P658" i="1" s="1"/>
  <c r="N659" i="1"/>
  <c r="P659" i="1" s="1"/>
  <c r="N660" i="1"/>
  <c r="P660" i="1" s="1"/>
  <c r="N661" i="1"/>
  <c r="P661" i="1" s="1"/>
  <c r="N662" i="1"/>
  <c r="P662" i="1" s="1"/>
  <c r="N663" i="1"/>
  <c r="P663" i="1" s="1"/>
  <c r="N664" i="1"/>
  <c r="P664" i="1" s="1"/>
  <c r="N665" i="1"/>
  <c r="P665" i="1" s="1"/>
  <c r="N666" i="1"/>
  <c r="P666" i="1" s="1"/>
  <c r="N667" i="1"/>
  <c r="P667" i="1" s="1"/>
  <c r="N668" i="1"/>
  <c r="P668" i="1" s="1"/>
  <c r="N669" i="1"/>
  <c r="P669" i="1" s="1"/>
  <c r="N670" i="1"/>
  <c r="P670" i="1" s="1"/>
  <c r="N671" i="1"/>
  <c r="P671" i="1" s="1"/>
  <c r="N672" i="1"/>
  <c r="P672" i="1" s="1"/>
  <c r="N673" i="1"/>
  <c r="P673" i="1" s="1"/>
  <c r="N674" i="1"/>
  <c r="P674" i="1" s="1"/>
  <c r="N675" i="1"/>
  <c r="P675" i="1" s="1"/>
  <c r="N676" i="1"/>
  <c r="P676" i="1" s="1"/>
  <c r="N677" i="1"/>
  <c r="P677" i="1" s="1"/>
  <c r="N678" i="1"/>
  <c r="P678" i="1" s="1"/>
  <c r="N679" i="1"/>
  <c r="P679" i="1" s="1"/>
  <c r="N680" i="1"/>
  <c r="P680" i="1" s="1"/>
  <c r="N681" i="1"/>
  <c r="P681" i="1" s="1"/>
  <c r="N682" i="1"/>
  <c r="P682" i="1" s="1"/>
  <c r="N683" i="1"/>
  <c r="P683" i="1" s="1"/>
  <c r="N684" i="1"/>
  <c r="P684" i="1" s="1"/>
  <c r="N685" i="1"/>
  <c r="P685" i="1" s="1"/>
  <c r="N686" i="1"/>
  <c r="P686" i="1" s="1"/>
  <c r="N687" i="1"/>
  <c r="P687" i="1" s="1"/>
  <c r="N688" i="1"/>
  <c r="P688" i="1" s="1"/>
  <c r="N689" i="1"/>
  <c r="P689" i="1" s="1"/>
  <c r="N690" i="1"/>
  <c r="P690" i="1" s="1"/>
  <c r="N691" i="1"/>
  <c r="P691" i="1" s="1"/>
  <c r="N692" i="1"/>
  <c r="P692" i="1" s="1"/>
  <c r="N693" i="1"/>
  <c r="P693" i="1" s="1"/>
  <c r="N694" i="1"/>
  <c r="P694" i="1" s="1"/>
  <c r="N695" i="1"/>
  <c r="P695" i="1" s="1"/>
  <c r="N696" i="1"/>
  <c r="P696" i="1" s="1"/>
  <c r="N697" i="1"/>
  <c r="P697" i="1" s="1"/>
  <c r="N698" i="1"/>
  <c r="P698" i="1" s="1"/>
  <c r="N699" i="1"/>
  <c r="P699" i="1" s="1"/>
  <c r="N700" i="1"/>
  <c r="P700" i="1" s="1"/>
  <c r="N701" i="1"/>
  <c r="P701" i="1" s="1"/>
  <c r="N702" i="1"/>
  <c r="P702" i="1" s="1"/>
  <c r="N703" i="1"/>
  <c r="P703" i="1" s="1"/>
  <c r="N704" i="1"/>
  <c r="P704" i="1" s="1"/>
  <c r="N705" i="1"/>
  <c r="P705" i="1" s="1"/>
  <c r="N706" i="1"/>
  <c r="P706" i="1" s="1"/>
  <c r="N707" i="1"/>
  <c r="P707" i="1" s="1"/>
  <c r="N708" i="1"/>
  <c r="P708" i="1" s="1"/>
  <c r="N709" i="1"/>
  <c r="P709" i="1" s="1"/>
  <c r="N710" i="1"/>
  <c r="P710" i="1" s="1"/>
  <c r="N711" i="1"/>
  <c r="P711" i="1" s="1"/>
  <c r="N712" i="1"/>
  <c r="P712" i="1" s="1"/>
  <c r="N713" i="1"/>
  <c r="P713" i="1" s="1"/>
  <c r="N714" i="1"/>
  <c r="P714" i="1" s="1"/>
  <c r="N715" i="1"/>
  <c r="P715" i="1" s="1"/>
  <c r="N716" i="1"/>
  <c r="P716" i="1" s="1"/>
  <c r="N717" i="1"/>
  <c r="P717" i="1" s="1"/>
  <c r="N718" i="1"/>
  <c r="P718" i="1" s="1"/>
  <c r="N719" i="1"/>
  <c r="P719" i="1" s="1"/>
  <c r="N720" i="1"/>
  <c r="P720" i="1" s="1"/>
  <c r="N721" i="1"/>
  <c r="P721" i="1" s="1"/>
  <c r="N722" i="1"/>
  <c r="P722" i="1" s="1"/>
  <c r="N723" i="1"/>
  <c r="P723" i="1" s="1"/>
  <c r="N724" i="1"/>
  <c r="P724" i="1" s="1"/>
  <c r="N725" i="1"/>
  <c r="P725" i="1" s="1"/>
  <c r="N726" i="1"/>
  <c r="P726" i="1" s="1"/>
  <c r="N727" i="1"/>
  <c r="P727" i="1" s="1"/>
  <c r="N728" i="1"/>
  <c r="P728" i="1" s="1"/>
  <c r="N729" i="1"/>
  <c r="P729" i="1" s="1"/>
  <c r="N730" i="1"/>
  <c r="P730" i="1" s="1"/>
  <c r="N731" i="1"/>
  <c r="P731" i="1" s="1"/>
  <c r="N732" i="1"/>
  <c r="P732" i="1" s="1"/>
  <c r="N733" i="1"/>
  <c r="P733" i="1" s="1"/>
  <c r="N734" i="1"/>
  <c r="P734" i="1" s="1"/>
  <c r="N735" i="1"/>
  <c r="P735" i="1" s="1"/>
  <c r="N736" i="1"/>
  <c r="P736" i="1" s="1"/>
  <c r="N737" i="1"/>
  <c r="P737" i="1" s="1"/>
  <c r="N738" i="1"/>
  <c r="P738" i="1" s="1"/>
  <c r="N739" i="1"/>
  <c r="P739" i="1" s="1"/>
  <c r="N740" i="1"/>
  <c r="P740" i="1" s="1"/>
  <c r="N741" i="1"/>
  <c r="P741" i="1" s="1"/>
  <c r="N742" i="1"/>
  <c r="P742" i="1" s="1"/>
  <c r="N743" i="1"/>
  <c r="P743" i="1" s="1"/>
  <c r="O2" i="1"/>
  <c r="Q2" i="1" s="1"/>
  <c r="N2" i="1"/>
  <c r="P2" i="1" s="1"/>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2" i="1"/>
  <c r="G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D703" i="1"/>
  <c r="D100" i="1" l="1"/>
  <c r="D99" i="1"/>
  <c r="D55" i="1"/>
  <c r="D40" i="1"/>
  <c r="D39" i="1"/>
  <c r="D38" i="1"/>
  <c r="D37" i="1"/>
  <c r="D36" i="1"/>
  <c r="D728" i="1"/>
  <c r="D595" i="1"/>
  <c r="D594" i="1"/>
  <c r="D455" i="1"/>
  <c r="D435" i="1"/>
  <c r="D379" i="1"/>
  <c r="D378" i="1"/>
  <c r="D227" i="1"/>
  <c r="D226" i="1"/>
  <c r="D225" i="1"/>
  <c r="D224" i="1"/>
  <c r="D189" i="1"/>
  <c r="D188" i="1"/>
  <c r="D187" i="1"/>
  <c r="D186" i="1"/>
  <c r="D137" i="1"/>
  <c r="D136" i="1"/>
  <c r="D611" i="1" l="1"/>
  <c r="D610" i="1"/>
  <c r="D396" i="1"/>
  <c r="D742" i="1" l="1"/>
  <c r="D741" i="1"/>
  <c r="D740" i="1"/>
  <c r="D739" i="1"/>
  <c r="D738" i="1"/>
  <c r="D737" i="1"/>
  <c r="D736" i="1"/>
  <c r="D735" i="1"/>
  <c r="D734" i="1"/>
  <c r="D733" i="1"/>
  <c r="D732" i="1"/>
  <c r="D731" i="1"/>
  <c r="D730" i="1"/>
  <c r="D729" i="1"/>
  <c r="D727" i="1"/>
  <c r="D726" i="1"/>
  <c r="D725" i="1"/>
  <c r="D724" i="1"/>
  <c r="D720" i="1"/>
  <c r="D719" i="1"/>
  <c r="D718" i="1"/>
  <c r="D717" i="1"/>
  <c r="D716" i="1"/>
  <c r="D715" i="1"/>
  <c r="D714" i="1"/>
  <c r="D713" i="1"/>
  <c r="D712" i="1"/>
  <c r="D711" i="1"/>
  <c r="D710" i="1"/>
  <c r="D709" i="1"/>
  <c r="D708" i="1"/>
  <c r="D707" i="1"/>
  <c r="D706" i="1"/>
  <c r="D705" i="1"/>
  <c r="D704" i="1"/>
  <c r="D702" i="1"/>
  <c r="D701" i="1"/>
  <c r="D700" i="1"/>
  <c r="D699" i="1"/>
  <c r="D698" i="1"/>
  <c r="D697" i="1"/>
  <c r="D696" i="1"/>
  <c r="D695" i="1"/>
  <c r="D694" i="1"/>
  <c r="D693" i="1"/>
  <c r="D692" i="1"/>
  <c r="D691" i="1"/>
  <c r="D690" i="1"/>
  <c r="D689" i="1"/>
  <c r="D688" i="1"/>
  <c r="D687" i="1"/>
  <c r="D686" i="1"/>
  <c r="D685" i="1"/>
  <c r="D684" i="1"/>
  <c r="D683" i="1"/>
  <c r="D682" i="1"/>
  <c r="D681" i="1"/>
  <c r="D680" i="1"/>
  <c r="D679" i="1"/>
  <c r="D678" i="1"/>
  <c r="D677" i="1"/>
  <c r="D676" i="1"/>
  <c r="D675" i="1"/>
  <c r="D674" i="1"/>
  <c r="D673" i="1"/>
  <c r="D672" i="1"/>
  <c r="D671" i="1"/>
  <c r="D670" i="1"/>
  <c r="D669" i="1"/>
  <c r="D668" i="1"/>
  <c r="D667" i="1"/>
  <c r="D666" i="1"/>
  <c r="D665" i="1"/>
  <c r="D664" i="1"/>
  <c r="D663" i="1"/>
  <c r="D662" i="1"/>
  <c r="D661" i="1"/>
  <c r="D660" i="1"/>
  <c r="D659" i="1"/>
  <c r="D658" i="1"/>
  <c r="D657" i="1"/>
  <c r="D656" i="1"/>
  <c r="D655" i="1"/>
  <c r="D654" i="1"/>
  <c r="D653" i="1"/>
  <c r="D652" i="1"/>
  <c r="D651" i="1"/>
  <c r="D650" i="1"/>
  <c r="D649" i="1"/>
  <c r="D648" i="1"/>
  <c r="D647" i="1"/>
  <c r="D646" i="1"/>
  <c r="D645" i="1"/>
  <c r="D644" i="1"/>
  <c r="D643" i="1"/>
  <c r="D642" i="1"/>
  <c r="D641" i="1"/>
  <c r="D640" i="1"/>
  <c r="D639" i="1"/>
  <c r="D638" i="1"/>
  <c r="D637" i="1"/>
  <c r="D636" i="1"/>
  <c r="D635" i="1"/>
  <c r="D634" i="1"/>
  <c r="D633" i="1"/>
  <c r="D632" i="1"/>
  <c r="D631" i="1"/>
  <c r="D630" i="1"/>
  <c r="D629" i="1"/>
  <c r="D628" i="1"/>
  <c r="D627" i="1"/>
  <c r="D626" i="1"/>
  <c r="D625" i="1"/>
  <c r="D624" i="1"/>
  <c r="D623" i="1"/>
  <c r="D622" i="1"/>
  <c r="D621" i="1"/>
  <c r="D620" i="1"/>
  <c r="D619" i="1"/>
  <c r="D618" i="1"/>
  <c r="D617" i="1"/>
  <c r="D616" i="1"/>
  <c r="D615" i="1"/>
  <c r="D614" i="1"/>
  <c r="D613" i="1"/>
  <c r="D612" i="1"/>
  <c r="D609" i="1"/>
  <c r="D608" i="1"/>
  <c r="D607" i="1"/>
  <c r="D606" i="1"/>
  <c r="D605" i="1"/>
  <c r="D604" i="1"/>
  <c r="D603" i="1"/>
  <c r="D602" i="1"/>
  <c r="D601" i="1"/>
  <c r="D600" i="1"/>
  <c r="D599" i="1"/>
  <c r="D598" i="1"/>
  <c r="D597" i="1"/>
  <c r="D596"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55" i="1"/>
  <c r="D554" i="1"/>
  <c r="D553" i="1"/>
  <c r="D552" i="1"/>
  <c r="D551" i="1"/>
  <c r="D550" i="1"/>
  <c r="D549" i="1"/>
  <c r="D548" i="1"/>
  <c r="D547" i="1"/>
  <c r="D546" i="1"/>
  <c r="D545" i="1"/>
  <c r="D544" i="1"/>
  <c r="D543" i="1"/>
  <c r="D542" i="1"/>
  <c r="D541" i="1"/>
  <c r="D540" i="1"/>
  <c r="D539" i="1"/>
  <c r="D538" i="1"/>
  <c r="D537" i="1"/>
  <c r="D536" i="1"/>
  <c r="D535" i="1"/>
  <c r="D534" i="1"/>
  <c r="D533" i="1"/>
  <c r="D532" i="1"/>
  <c r="D531" i="1"/>
  <c r="D530" i="1"/>
  <c r="D529" i="1"/>
  <c r="D528" i="1"/>
  <c r="D527" i="1"/>
  <c r="D526" i="1"/>
  <c r="D525" i="1"/>
  <c r="D524" i="1"/>
  <c r="D523" i="1"/>
  <c r="D522" i="1"/>
  <c r="D521" i="1"/>
  <c r="D520" i="1"/>
  <c r="D519" i="1"/>
  <c r="D518" i="1"/>
  <c r="D517" i="1"/>
  <c r="D516" i="1"/>
  <c r="D515" i="1"/>
  <c r="D514" i="1"/>
  <c r="D513" i="1"/>
  <c r="D512" i="1"/>
  <c r="D511" i="1"/>
  <c r="D510" i="1"/>
  <c r="D509" i="1"/>
  <c r="D508" i="1"/>
  <c r="D507" i="1"/>
  <c r="D506" i="1"/>
  <c r="D505" i="1"/>
  <c r="D504" i="1"/>
  <c r="D503" i="1"/>
  <c r="D502" i="1"/>
  <c r="D501" i="1"/>
  <c r="D500" i="1"/>
  <c r="D499" i="1"/>
  <c r="D498" i="1"/>
  <c r="D497" i="1"/>
  <c r="D496" i="1"/>
  <c r="D495" i="1"/>
  <c r="D494" i="1"/>
  <c r="D493" i="1"/>
  <c r="D492" i="1"/>
  <c r="D491" i="1"/>
  <c r="D490" i="1"/>
  <c r="D489" i="1"/>
  <c r="D488" i="1"/>
  <c r="D487" i="1"/>
  <c r="D486" i="1"/>
  <c r="D485" i="1"/>
  <c r="D484" i="1"/>
  <c r="D483" i="1"/>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4" i="1"/>
  <c r="D453" i="1"/>
  <c r="D452" i="1"/>
  <c r="D451" i="1"/>
  <c r="D450" i="1"/>
  <c r="D449" i="1"/>
  <c r="D448" i="1"/>
  <c r="D447" i="1"/>
  <c r="D446" i="1"/>
  <c r="D445" i="1"/>
  <c r="D444" i="1"/>
  <c r="D443" i="1"/>
  <c r="D442" i="1"/>
  <c r="D441" i="1"/>
  <c r="D440" i="1"/>
  <c r="D439" i="1"/>
  <c r="D438" i="1"/>
  <c r="D437" i="1"/>
  <c r="D436"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5" i="1"/>
  <c r="D394" i="1"/>
  <c r="D393" i="1"/>
  <c r="D392" i="1"/>
  <c r="D391" i="1"/>
  <c r="D390" i="1"/>
  <c r="D389" i="1"/>
  <c r="D388" i="1"/>
  <c r="D387" i="1"/>
  <c r="D386" i="1"/>
  <c r="D385" i="1"/>
  <c r="D384" i="1"/>
  <c r="D383" i="1"/>
  <c r="D382" i="1"/>
  <c r="D381" i="1"/>
  <c r="D380"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8" i="1"/>
  <c r="D347"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D102" i="1"/>
  <c r="D101"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4" i="1"/>
  <c r="D53" i="1"/>
  <c r="D52" i="1"/>
  <c r="D51" i="1"/>
  <c r="D50" i="1"/>
  <c r="D49" i="1"/>
  <c r="D48" i="1"/>
  <c r="D47" i="1"/>
  <c r="D46" i="1"/>
  <c r="D45" i="1"/>
  <c r="D44" i="1"/>
  <c r="D43" i="1"/>
  <c r="D42" i="1"/>
  <c r="D41" i="1"/>
  <c r="D35" i="1"/>
  <c r="D34" i="1"/>
  <c r="D33" i="1"/>
  <c r="D32" i="1"/>
  <c r="D31" i="1"/>
  <c r="D30" i="1"/>
  <c r="D29" i="1"/>
  <c r="D28" i="1"/>
  <c r="D27" i="1"/>
  <c r="D26" i="1"/>
  <c r="D25" i="1"/>
  <c r="D24" i="1"/>
  <c r="D23" i="1"/>
  <c r="D22" i="1"/>
  <c r="D21" i="1"/>
  <c r="D20" i="1"/>
  <c r="D18" i="1"/>
  <c r="D17" i="1"/>
  <c r="D16" i="1"/>
  <c r="D15" i="1"/>
  <c r="D14" i="1"/>
  <c r="D13" i="1"/>
  <c r="D12" i="1"/>
  <c r="D11" i="1"/>
  <c r="D10" i="1"/>
  <c r="D9" i="1"/>
  <c r="D8" i="1"/>
  <c r="D7" i="1"/>
  <c r="D6" i="1"/>
  <c r="D5" i="1"/>
  <c r="D4" i="1"/>
  <c r="D3" i="1"/>
  <c r="D2" i="1"/>
</calcChain>
</file>

<file path=xl/comments1.xml><?xml version="1.0" encoding="utf-8"?>
<comments xmlns="http://schemas.openxmlformats.org/spreadsheetml/2006/main">
  <authors>
    <author>Andjelija Savic</author>
  </authors>
  <commentList>
    <comment ref="K2" authorId="0" shapeId="0">
      <text>
        <r>
          <rPr>
            <b/>
            <sz val="9"/>
            <color indexed="81"/>
            <rFont val="Segoe UI"/>
            <family val="2"/>
          </rPr>
          <t>Andjelija Savic:</t>
        </r>
        <r>
          <rPr>
            <sz val="9"/>
            <color indexed="81"/>
            <rFont val="Segoe UI"/>
            <family val="2"/>
          </rPr>
          <t xml:space="preserve">
</t>
        </r>
      </text>
    </comment>
  </commentList>
</comments>
</file>

<file path=xl/sharedStrings.xml><?xml version="1.0" encoding="utf-8"?>
<sst xmlns="http://schemas.openxmlformats.org/spreadsheetml/2006/main" count="2616" uniqueCount="742">
  <si>
    <t>Zaštićeno ime leka</t>
  </si>
  <si>
    <t>Cena leka na veliko za pakovanje</t>
  </si>
  <si>
    <t>DDD</t>
  </si>
  <si>
    <t>Cena leka na veliko po DDD</t>
  </si>
  <si>
    <t>Indikacija</t>
  </si>
  <si>
    <t>Napomena</t>
  </si>
  <si>
    <t>OMEPROL</t>
  </si>
  <si>
    <t>20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</si>
  <si>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</si>
  <si>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</si>
  <si>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OMEPROL T</t>
  </si>
  <si>
    <t>PANRAZOL</t>
  </si>
  <si>
    <t>40 mg</t>
  </si>
  <si>
    <t xml:space="preserve"> 1. Za eradikaciju Helicobacter pylori infekcije do 14 dana dokazanu validnim testom (K22.1; K25; K26; K28),
 2. Nakon krvarenja iz peptičkog ulkusa do 2 meseca (K25; K26; K28), 
 3. Gastroezofagealna refluksna bolest  do 2 nedelje terapije  (K21).</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</si>
  <si>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</si>
  <si>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t>
  </si>
  <si>
    <t>NOLPAZA</t>
  </si>
  <si>
    <t>ACIPAN</t>
  </si>
  <si>
    <t>GASTROPRAZOL</t>
  </si>
  <si>
    <t xml:space="preserve"> 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</si>
  <si>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RABEZOL</t>
  </si>
  <si>
    <t>EMANERA</t>
  </si>
  <si>
    <t>30 mg</t>
  </si>
  <si>
    <t xml:space="preserve">Za indikaciju pod tačkom 2. lek se u terapiju uvodi na osnovu mišljenja gastroenterologa.
  Za indikaciju pod tačkom 3. nakon gore navedenog perioda lečenja  (2 nedelje) nastavak terapije do 8 nedelja u toku 12 meseci  na osnovu mišljenja: 
    a)   gastroenterologa ili
    b)   mišljenja specijaliste abdominalnog hirurga uz nalaz gornje endoskopije. </t>
  </si>
  <si>
    <t>HEPA-MERZ</t>
  </si>
  <si>
    <t>Portosistemske encefalopatije (K72).</t>
  </si>
  <si>
    <t>Lek se u uvodi u terapiju na osnovu mišljenja gastroenterologa ili infektologa/hepatologa.</t>
  </si>
  <si>
    <t>SALOFALK</t>
  </si>
  <si>
    <t>1,5 g</t>
  </si>
  <si>
    <t xml:space="preserve">1. Crohnova bolest (K50),
  2. Ulcerozni kolitis (K51). </t>
  </si>
  <si>
    <t>Za  indikacije pod tačkom 1. i 2.  lek se u terapiju uvodi na osnovu mišljenja gastroenterologa.</t>
  </si>
  <si>
    <t>Ulcerozni kolitis (K51)</t>
  </si>
  <si>
    <t>Lek se u terapiju uvodi na osnovu mišljenja gastroenterologa.</t>
  </si>
  <si>
    <t>SALOFALK 500</t>
  </si>
  <si>
    <t xml:space="preserve">1. Crohnova bolest (K50),
2. Ulcerozni kolitis (K51). </t>
  </si>
  <si>
    <t>ASACOL</t>
  </si>
  <si>
    <t>PENTASA</t>
  </si>
  <si>
    <t xml:space="preserve">Ulcerozni kolitis (K51). </t>
  </si>
  <si>
    <t>GLUCOPHAGE</t>
  </si>
  <si>
    <t>2 g</t>
  </si>
  <si>
    <t>2g</t>
  </si>
  <si>
    <t>GLUCOPHAGE XR</t>
  </si>
  <si>
    <t>DIAPREL MR</t>
  </si>
  <si>
    <t>60 mg</t>
  </si>
  <si>
    <t>GLICLADA SR</t>
  </si>
  <si>
    <t>DIACLIDE MR</t>
  </si>
  <si>
    <t>OGLITION</t>
  </si>
  <si>
    <t>Monoterapija (uz promenu životnog stila, dijeta  i fizička aktivnost), ali samo u slučaju da postoji preosetljivost ili nepodnošenje metformina (E11.0; E11.2-E11.9)</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</si>
  <si>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dva oralna antidijabetika (trojna terapija)
 -metformin i sulfonilureja, kod odraslih pacijenata (naročito gojaznih), kod kojih nije moguće postići kontrolu glikemije upotrebom dva oralna antidijabetika.(E11.0; E11.2-E11.9)
3. U kombinaciji sa insulinom kod odraslih pacijenata obolelih od diabetes mellitus tip 2, kod kojih se kontrola glikemije nije mogla postići upotrebom samo insulina, a upotreba metformina je kontraindikovana ili postoji njegova netolerancija (E11.0; E11.2-E11.9)</t>
  </si>
  <si>
    <t>Lek se uvodi u terapiju na osnovu mišljenja endokrinologa</t>
  </si>
  <si>
    <t>MAYSIGLU</t>
  </si>
  <si>
    <t>0.1 g</t>
  </si>
  <si>
    <t xml:space="preserve"> Lek se uvodi u terapiju na osnovu mišljenja endokrinologa</t>
  </si>
  <si>
    <t>DOLISTA</t>
  </si>
  <si>
    <t>ALPHA D3</t>
  </si>
  <si>
    <t>1 mcg</t>
  </si>
  <si>
    <t>1. Hipokalcemija bilo koje etiologije ( E58 ),
  2. Renalna osteodistrofija ( N25.0 ),
  3. Osteomalacija kod vitamin D rezistentnog rahitisa ( E83.3),
  4. Glukokortikoidima indukovana osteoporoza ( M81.4).</t>
  </si>
  <si>
    <t>Lek se uvodi u terapiju za indikaciju pod tačkom 1.  na osnovu mišljenja endokrinologa, a pod tačkom 2. na osnovu mišljenja nefrologa ili endokrinologa, a pod tačkom 3. i 4. na osnovu mišljenja reumatologa.</t>
  </si>
  <si>
    <t xml:space="preserve">ROCALTROL </t>
  </si>
  <si>
    <t xml:space="preserve">
  Renalna osteodistrofija ( N25.0 ).</t>
  </si>
  <si>
    <t>Lek se u terapiju uvodi na osnovu mišljenja nefrologa ili endokrinologa.</t>
  </si>
  <si>
    <t>20 mcg</t>
  </si>
  <si>
    <t>ACENOKUMAROL UNION</t>
  </si>
  <si>
    <t>5 mg</t>
  </si>
  <si>
    <t>PLAVIX</t>
  </si>
  <si>
    <t>75 mg</t>
  </si>
  <si>
    <t>1. Lek se uvodi u terapiju na osnovu mišljenja lekara zdravstvene ustanove koja vrši ugradnju stenta i/ili grafta, a obavlja zdravstvenu delatnost na sekundarnom ili tercijarnom nivou zdravstvene zaštite,  za period  do 12 meseci neposredno posle ugradnje stenta i/ili grafta. 
 2. Kod pacijenata u sekundarnoj prevenciji infarkta miokarda i mozga kod osoba koje su rezistentne na acetilsalicilnu kiselinu ( koji su imali jedan ili više vaskularnih događaja ), a na osnovu mišljenja kardiologa ili interniste ili neurologa/neuropsihijatra.</t>
  </si>
  <si>
    <t>ZYLLT</t>
  </si>
  <si>
    <t>ANTIAGREX</t>
  </si>
  <si>
    <t>CLOPIGAL</t>
  </si>
  <si>
    <t>CLOPIDIX</t>
  </si>
  <si>
    <t>CLOPICOR</t>
  </si>
  <si>
    <t>75mg</t>
  </si>
  <si>
    <t>DUOPLAVIN</t>
  </si>
  <si>
    <t>1 tableta</t>
  </si>
  <si>
    <t>60%</t>
  </si>
  <si>
    <t>1. Prevencija aterotrombotičkih dogadjaja na osnovu mišljenja interniste za period od 12 meseci nakon preležanog akutnog infarkta miokarda. 
2. Kod bolesnika sa anginom pektoris i za prevenciju tromboze stenta 12 meseci nakon ugradnje stenta sa oslobadjanjem leka i mesec dana nakon ugradnje stenta bez leka, na osnovu mišljenja lekara zdravstvene ustanove koja vrši ugradnju stenta.</t>
  </si>
  <si>
    <t>HEFEROL</t>
  </si>
  <si>
    <t>0,2 g</t>
  </si>
  <si>
    <t>REFERUM</t>
  </si>
  <si>
    <t>90 mg</t>
  </si>
  <si>
    <t>FLEKANID</t>
  </si>
  <si>
    <t>1. Paroksizmalne atrijalne aritmije (atrijalna fibrilacija, atrijalni flater i atrijalna tahikardija) kod pacijenata sa onesposobljavajućim simptomima nakon konverzije kod kojih postoji potreba za primenom leka na osnovu težine kliničkih simptoma i kada se drugi terapijski pristupi nisu pokazali efikasnim (I48).
2. AV-nodalne recipročne tahikardije; aritmije udružene sa Wolf-Parkinson-White sindromom i slična stanja koja karakteriše prisustvo dodatnih (akcesornih) puteva za sprovođenje impulsa iz pretkomora u komore, kada se drugi pristupi lečenju nisu pokazali kao efikasni (I45.6).</t>
  </si>
  <si>
    <t>Lek se u terapiju uvodi na osnovu mišljenja kardiologa ili interniste.</t>
  </si>
  <si>
    <t>NITROLINGUAL</t>
  </si>
  <si>
    <t>2,5 mg</t>
  </si>
  <si>
    <t>TRIMETAZIDIN PHARMAS</t>
  </si>
  <si>
    <t xml:space="preserve">  Аnginа pektoris (I20) .</t>
  </si>
  <si>
    <t xml:space="preserve"> Lek se u terapiju uvodi na osnovu mišljenja interniste ili kardiologa.</t>
  </si>
  <si>
    <t>MODUXIN MR</t>
  </si>
  <si>
    <t>TRIMETACOR MR</t>
  </si>
  <si>
    <t>PREDUCTAL</t>
  </si>
  <si>
    <t>10 mg</t>
  </si>
  <si>
    <t xml:space="preserve">METHYLDOPA </t>
  </si>
  <si>
    <t xml:space="preserve">  Lek se u terapiju uvodi na osnovu mišljenja interniste ili kardiologa.</t>
  </si>
  <si>
    <t>PHYSIOTENS</t>
  </si>
  <si>
    <t>0,3 mg</t>
  </si>
  <si>
    <t>Esencijalna arterijska hipertenzija (I10).</t>
  </si>
  <si>
    <t>MOXOGAMMA 0.2</t>
  </si>
  <si>
    <t>MOXOGAMMA 0.3</t>
  </si>
  <si>
    <t>MOXOGAMMA 0.4</t>
  </si>
  <si>
    <t>1 mg</t>
  </si>
  <si>
    <t>DOXAZIN</t>
  </si>
  <si>
    <t>4 mg</t>
  </si>
  <si>
    <t xml:space="preserve">  Lek se u terapiju uvodi na osnovu mišljenja interniste ili urologa.</t>
  </si>
  <si>
    <t>INDAPRES SR</t>
  </si>
  <si>
    <t>RAWEL SR</t>
  </si>
  <si>
    <t>VAZOPAMID</t>
  </si>
  <si>
    <t>SOPHTENSIF</t>
  </si>
  <si>
    <t>DIUVER</t>
  </si>
  <si>
    <t>15mg</t>
  </si>
  <si>
    <t>INSPRA</t>
  </si>
  <si>
    <t>50 mg</t>
  </si>
  <si>
    <t>Dodatak standardnoj terapiji koja uključuje ACE inhibitor (ili sartan), beta blokator i diuretik Henleove petlje, da bi se smanjio rizik od kardiovaskularnog oboljevanja i smrtnosti kod stabilnih bolesnika sa disfunkcijom leve komore (ejekciona frakcija leve komore - LVEF ≤40%) i klinički manifestnom srčanom insuficijencijom nakon skorašnjeg infarkta miokarda (I50).</t>
  </si>
  <si>
    <t>DIUPOT</t>
  </si>
  <si>
    <t>EPLESTAR</t>
  </si>
  <si>
    <t>DAROB MITE</t>
  </si>
  <si>
    <t>0,16 g</t>
  </si>
  <si>
    <t xml:space="preserve"> Poremećaj ritma srca (I47; I48; I49).</t>
  </si>
  <si>
    <t>METOPROLOL XL SANDOZ</t>
  </si>
  <si>
    <t>0,15 g</t>
  </si>
  <si>
    <t xml:space="preserve">1. Srčana insuficijencija ( I50 ).    </t>
  </si>
  <si>
    <t xml:space="preserve"> Lek se uvodi u terapiju na osnovu mišljenja kardiologa.</t>
  </si>
  <si>
    <t>BINEVOL</t>
  </si>
  <si>
    <t>NEVOTENS</t>
  </si>
  <si>
    <t>NEBIGAL</t>
  </si>
  <si>
    <t xml:space="preserve">NEBILET </t>
  </si>
  <si>
    <t>BARIOS</t>
  </si>
  <si>
    <t>MASSIDO</t>
  </si>
  <si>
    <t>NEBITOL</t>
  </si>
  <si>
    <t>NEVOLOL</t>
  </si>
  <si>
    <t>37,5 mg</t>
  </si>
  <si>
    <t>Arterijska hipertenzija (I10; I12; I13; I15)</t>
  </si>
  <si>
    <t xml:space="preserve"> Lek se uvodi u terapiju  na osnovu mišljenja interniste ili kardiologa.</t>
  </si>
  <si>
    <t>MILENOL</t>
  </si>
  <si>
    <t>37.5 mg</t>
  </si>
  <si>
    <t>CORYOL</t>
  </si>
  <si>
    <t>KARVOL</t>
  </si>
  <si>
    <t>KARVILEKS T</t>
  </si>
  <si>
    <t>NEBILET PLUS 5/12.5</t>
  </si>
  <si>
    <t>Za lečenje esencijalne arterijske hipertenzije (I10) ukoliko se tromesečno lečenje pojedinačnim lekovima koji se koriste za lečenje hipertenzije, uključujući lečenje sa više pojedinačnih lekova istovremeno, pokazalo nedovoljno efikasno</t>
  </si>
  <si>
    <t>BINEVOL PLUS</t>
  </si>
  <si>
    <t>Za lečenje esencijalne arterijske hipertenzije (I10) ukoliko se tromesečno lečenje pojedinačnim lekovima koji se koriste za lečenje hipertenzije, uključujući lečenje sa više pojedinačnih lekova istovremeno, pokazalo nedovoljno efikasno.</t>
  </si>
  <si>
    <t>PLENDIL</t>
  </si>
  <si>
    <t xml:space="preserve"> 1. Angina pektoris (I20),
  2. Arterijska hipertenzija ( I10; I11; I12; I13; I15).</t>
  </si>
  <si>
    <t>CORNELIN</t>
  </si>
  <si>
    <t>Blage do umerene esencijalne hipertenzije (I10)</t>
  </si>
  <si>
    <t>PREXANIL</t>
  </si>
  <si>
    <t>RANBAPRIL</t>
  </si>
  <si>
    <t>PERIGARD</t>
  </si>
  <si>
    <t>PRENESSA</t>
  </si>
  <si>
    <t xml:space="preserve">4 mg </t>
  </si>
  <si>
    <t>15 mg</t>
  </si>
  <si>
    <t xml:space="preserve">PRILAZID </t>
  </si>
  <si>
    <t>MONOPRIL</t>
  </si>
  <si>
    <t>ZOFECARD</t>
  </si>
  <si>
    <t xml:space="preserve"> Esencijalna arterijska hipertenzija (I10).</t>
  </si>
  <si>
    <t xml:space="preserve"> </t>
  </si>
  <si>
    <t>Za lečenje arterijske hipertenzije (I10 i I11) ukoliko se tromesečno lečenje pojedinačnim lekovima koji se koriste za lečenje hipertenzije, uključujući lečenje sa više pojedinačnih lekova istovremeno, pokazalo nedovoljno efikasno.</t>
  </si>
  <si>
    <t>CO-PRENESSA</t>
  </si>
  <si>
    <t xml:space="preserve"> Za lečenje esencijalne arterijske hipertenzije (I10) ukoliko se tromesečno lečenje pojedinačnim lekovima koji se koriste za lečenje hipertenzije, uključujući lečenje sa više pojedinačnih lekova istovremeno, pokazalo nedovoljno efikasno.</t>
  </si>
  <si>
    <t>PREXANIL COMBI</t>
  </si>
  <si>
    <t>PREXANIL COMBI HD</t>
  </si>
  <si>
    <t>PERIGARD PLUS</t>
  </si>
  <si>
    <t>PERCARNIL COMBO</t>
  </si>
  <si>
    <t>HYPRESSIN PLUS</t>
  </si>
  <si>
    <t>COARPRENESSA</t>
  </si>
  <si>
    <t>PRILAZID PLUS</t>
  </si>
  <si>
    <t>MONOPRIL PLUS</t>
  </si>
  <si>
    <t>LISONORM</t>
  </si>
  <si>
    <t>LISONORM FORTE</t>
  </si>
  <si>
    <t>SKOPRYL COMBO</t>
  </si>
  <si>
    <t>PREXANOR</t>
  </si>
  <si>
    <t>AMLESSA</t>
  </si>
  <si>
    <t>AMLESSINI</t>
  </si>
  <si>
    <t>VAZOTAL DUO</t>
  </si>
  <si>
    <t>PRIAMLO</t>
  </si>
  <si>
    <t>ARAMLESSA</t>
  </si>
  <si>
    <t>TRIAPIN MITE</t>
  </si>
  <si>
    <t>TRIAPIN</t>
  </si>
  <si>
    <t>AMLORAM</t>
  </si>
  <si>
    <t>AMLOPIN COMBO</t>
  </si>
  <si>
    <t>AMORA</t>
  </si>
  <si>
    <t>PRILINDA DUO</t>
  </si>
  <si>
    <t>CO-AMLESSA</t>
  </si>
  <si>
    <t>TRIPLIXAM</t>
  </si>
  <si>
    <t>TRIPAMLO</t>
  </si>
  <si>
    <t>ERYNORM</t>
  </si>
  <si>
    <t>1. Arterijska hipertenzija (I10; I11; I12; I13; I15);
2. Srčana insuficijencija sa EF manjom od 40 % kod bolesnika koji ne tolerišu ACE inhibitore (najčešće zbog upornog suvog kašlja) (I50).</t>
  </si>
  <si>
    <t>LOSAR</t>
  </si>
  <si>
    <t>LOTAR</t>
  </si>
  <si>
    <t>LORISTA</t>
  </si>
  <si>
    <t>AVELOSARTAN</t>
  </si>
  <si>
    <t>VALSACOR</t>
  </si>
  <si>
    <t>80 mg</t>
  </si>
  <si>
    <t>1. Esencijalna arterijska hipertenzija (I10);
2. Srčana insuficijencija sa EF manjom od 40 % kod bolesnika koji ne tolerišu ACE inhibitore (najčešće zbog upornog suvog kašlja) ( I50 ).</t>
  </si>
  <si>
    <t>YANIDA</t>
  </si>
  <si>
    <t>BRAZART</t>
  </si>
  <si>
    <t>IRBENIDA</t>
  </si>
  <si>
    <t xml:space="preserve"> Hipertenzija kod pacijenata sa diabetes mellitusom tip 2 kod dijabetične nefropatije (I10).</t>
  </si>
  <si>
    <t>MICARDIS</t>
  </si>
  <si>
    <t>1. Esencijalna arterijska hipertenzija ( I10 );
2. Srčana insuficijencija sa EF manjom od 40 % kod bolesnika koji ne tolerišu ACE inhibitore (najčešće zbog upornog suvog kašlja) (I50).</t>
  </si>
  <si>
    <t>TELMIKOR</t>
  </si>
  <si>
    <t>TOLURA</t>
  </si>
  <si>
    <t>TELMIPRES</t>
  </si>
  <si>
    <t>40mg</t>
  </si>
  <si>
    <t>LOSAR PLUS</t>
  </si>
  <si>
    <t>LORISTA H</t>
  </si>
  <si>
    <t>LORISTA HD</t>
  </si>
  <si>
    <t>ERYNORM PLUS</t>
  </si>
  <si>
    <t xml:space="preserve">1 tableta </t>
  </si>
  <si>
    <t>VALSACOMBI</t>
  </si>
  <si>
    <t>Za lečenje esencijalne arterijske hipertenzije ( I10 ) ukoliko se tromesečno lečenje pojedinačnim lekovima koji se koriste za lečenje hipertenzije, uključujući lečenje sa više pojedinačnih lekova istovremeno, pokazalo nedovoljno efikasno.</t>
  </si>
  <si>
    <t>YANIDA PLUS</t>
  </si>
  <si>
    <t>BRAZART PLUS</t>
  </si>
  <si>
    <t>IRBENIDA PLUS</t>
  </si>
  <si>
    <t>MICARDIS PLUS</t>
  </si>
  <si>
    <t>TOLUCOMBI</t>
  </si>
  <si>
    <t>TELMIKOR PLUS</t>
  </si>
  <si>
    <t>TELMIPRES PLUS</t>
  </si>
  <si>
    <t>WAMLOX</t>
  </si>
  <si>
    <t>CHOLIPAM</t>
  </si>
  <si>
    <t xml:space="preserve">1. Akutni  infarkt miokarda ( I21 ) kao hronična terapija nakon preležanog akutnog infarkta miokarda kao prevencija ponovnog infarkta miokarda.
   2. Infarkt mozga  ( I63 ) -  samo za pacijente koji su imali  infarkt mozga kao prevencija ponovljenog infarkta mozga.                </t>
  </si>
  <si>
    <t xml:space="preserve"> Lek se uvodi u terapiju na osnovu mišljenja kardiologa ili interniste ili  neurologa/neuropsihijatra.                  </t>
  </si>
  <si>
    <t>VASILIP</t>
  </si>
  <si>
    <t>HOLLESTA</t>
  </si>
  <si>
    <t>PRAVACOR</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</si>
  <si>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</si>
  <si>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</si>
  <si>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ATACOR</t>
  </si>
  <si>
    <t xml:space="preserve">  1. Akutni  infarkt miokarda ( I21 ) kao hronična terapija nakon preležanog akutnog infarkta miokarda kao prevencija ponovnog infarkta miokarda.
   2. Infarkt mozga  ( I63 ) -  samo za pacijente koji su imali  infarkt mozga kao prevencija ponovnog infarkta mozga.               </t>
  </si>
  <si>
    <t xml:space="preserve"> Lek se uvodi u terapiju na osnovu mišljenja kardiologa ili interniste ili  neurologa/neuropsihijatra.                                                                                                                                                                                                                                                </t>
  </si>
  <si>
    <t>ATORIS</t>
  </si>
  <si>
    <t>DISLIPAT</t>
  </si>
  <si>
    <t>ATOLIP</t>
  </si>
  <si>
    <t>TOREZ</t>
  </si>
  <si>
    <t>20mg</t>
  </si>
  <si>
    <t>HYPOLIP</t>
  </si>
  <si>
    <t>ROXERA</t>
  </si>
  <si>
    <t xml:space="preserve">1. Akutni  infarkt miokarda ( I21 ) kao hronična terapija nakon preležanog akutnog infarkta miokarda kao prevencija ponovnog infarkta miokarda.
   2. Infarkt mozga  ( I63 ) -  samo za pacijente koji su imali  infarkt mozga kao prevencija ponovnog infarkta mozga.             </t>
  </si>
  <si>
    <t xml:space="preserve">Lek se uvodi u terapiju na osnovu mišljenja kardiologa ili interniste ili  neurologa/neuropsihijatra.               </t>
  </si>
  <si>
    <t>ROSUHOL</t>
  </si>
  <si>
    <t>ROSUVASTATIN SANDOZ</t>
  </si>
  <si>
    <t>PARAVANO</t>
  </si>
  <si>
    <t>EPRI</t>
  </si>
  <si>
    <t>ROSUVASTATIN ATB</t>
  </si>
  <si>
    <t xml:space="preserve">1. Akutni  infarkt miokarda (I21) kao hronična terapija nakon preležanog akutnog infarkta miokarda kao prevencija ponovnog infarkta miokarda.
   2. Infarkt mozga  (I63) -  samo za pacijente koji su imali  infarkt mozga kao prevencija ponovnog infarkta mozga.             </t>
  </si>
  <si>
    <t>RUSOVAS</t>
  </si>
  <si>
    <t>ROPUIDO</t>
  </si>
  <si>
    <t>COUPET</t>
  </si>
  <si>
    <t>FENOLIP</t>
  </si>
  <si>
    <t>50%</t>
  </si>
  <si>
    <t xml:space="preserve"> Lek se uvodi u terapiju na osnovu mišljenja interniste ako nakon tromesečne dijete trigliceridi u krvi nisu manji od 4.6 mmol/l. </t>
  </si>
  <si>
    <t>ZYGLIP</t>
  </si>
  <si>
    <t>LIPANTHYL 145</t>
  </si>
  <si>
    <t>0.2 g</t>
  </si>
  <si>
    <t>TREAKOL</t>
  </si>
  <si>
    <t>1. Akutni  infarkt miokarda (I21) kao hronična terapija nakon preležanog akutnog infarkta miokarda kao prevencija ponovnog infarkta miokarda.
2. Infarkt mozga  (I63) -  samo za pacijente koji su imali  infarkt mozga kao prevencija ponovljenog infarkta mozga.</t>
  </si>
  <si>
    <t xml:space="preserve"> Lek se uvodi u terapiju na osnovu mišljenja kardiologa ili interniste ili  neurologa/neuropsihijatra.</t>
  </si>
  <si>
    <t>TRINOMIA</t>
  </si>
  <si>
    <t>1 kapsula</t>
  </si>
  <si>
    <t>1. Akutni  infarkt miokarda ( I21 ) kao hronična terapija nakon preležanog akutnog infarkta miokarda kao prevencija ponovnog infarkta miokarda.
2. Infarkt mozga  (I63) -  samo za pacijente koji su imali  infarkt mozga kao prevencija ponovnog infarkta mozga.</t>
  </si>
  <si>
    <t>Lek se uvodi u terapiju na osnovu mišljenja kardiologa ili interniste ili neurologa/neuropsihijatra.</t>
  </si>
  <si>
    <t>HERPLEX</t>
  </si>
  <si>
    <t>ACIKLOVIR UNION</t>
  </si>
  <si>
    <t>AFLODERM</t>
  </si>
  <si>
    <t>ELOCOM</t>
  </si>
  <si>
    <t>ROACCUTAN</t>
  </si>
  <si>
    <t xml:space="preserve"> Akne conglobata ( L70.1).</t>
  </si>
  <si>
    <t>AKNOVA</t>
  </si>
  <si>
    <t>POLYGYNAX</t>
  </si>
  <si>
    <t xml:space="preserve">Vaginalna infekcija (N76). </t>
  </si>
  <si>
    <t xml:space="preserve">  Lek  se uvodi u terapiju na osnovu mišljenja ginekologa.</t>
  </si>
  <si>
    <t>0,1 g</t>
  </si>
  <si>
    <t>BELARA</t>
  </si>
  <si>
    <t>0.75 tableta</t>
  </si>
  <si>
    <t>Hormonska kontracepcija (Z30).</t>
  </si>
  <si>
    <t>Lek  se uvodi u terapiju na osnovu mišljenja ginekologa ili endokrinologa.</t>
  </si>
  <si>
    <t xml:space="preserve">  Menopauza (N95). </t>
  </si>
  <si>
    <t>ANGELIQ</t>
  </si>
  <si>
    <t>CYCLO-PROGYNOVA</t>
  </si>
  <si>
    <t>0,75 tabl.</t>
  </si>
  <si>
    <t>DIANE–35</t>
  </si>
  <si>
    <t xml:space="preserve">1. Idiopatski hirzutizam (L68). Kod žena generativne dobi uz dismenoreju;
  2. Ozbiljne akne koje ne reaguju na antimikrobnu terapiju (L70). </t>
  </si>
  <si>
    <t>DETRUSITOL</t>
  </si>
  <si>
    <t>1. Iritabilna bešika  (N39.4);
  2. Urinarna inkontinencija (N39.3).</t>
  </si>
  <si>
    <t>Lek  se uvodi u terapiju na osnovu mišljenja urologa ili ginekologa ili neurologa.</t>
  </si>
  <si>
    <t>SAURUS</t>
  </si>
  <si>
    <t>1. Iritabilna bešika  (N39.4);
2. Urinarna inkontinencija (N39.3).</t>
  </si>
  <si>
    <t>SOLYSAN</t>
  </si>
  <si>
    <t>INKONTAN</t>
  </si>
  <si>
    <t>TAMSOL</t>
  </si>
  <si>
    <t>0,4 mg</t>
  </si>
  <si>
    <t>Benigna hiperplazija prostate (N40).</t>
  </si>
  <si>
    <t xml:space="preserve">   Lek se uvodi u terapiju na osnovu mišljenja urologa.</t>
  </si>
  <si>
    <t>BETAMSAL</t>
  </si>
  <si>
    <t>TANYZ</t>
  </si>
  <si>
    <t>0.4 mg</t>
  </si>
  <si>
    <t>TAMLOS</t>
  </si>
  <si>
    <t>TAMPROST</t>
  </si>
  <si>
    <t>TAMSUDIL T</t>
  </si>
  <si>
    <t>TAMSULOSIN PHS</t>
  </si>
  <si>
    <t>Lek se uvodi u terapiju na osnovu mišljenja urologa.</t>
  </si>
  <si>
    <t>FLOSIN</t>
  </si>
  <si>
    <t>TANYZ ERAS</t>
  </si>
  <si>
    <t>DUTAPROST COMB</t>
  </si>
  <si>
    <t>DUOTAM</t>
  </si>
  <si>
    <t>DUTAMERA</t>
  </si>
  <si>
    <t>DATUST DUO</t>
  </si>
  <si>
    <t>1. Iritabilna bešika (N39.4) 
2. Urinarna inkontinencija (N39.3)
3. Benigna hiperplazija prostate (N40).</t>
  </si>
  <si>
    <t>PROSCAR</t>
  </si>
  <si>
    <t>BENEPROST</t>
  </si>
  <si>
    <t>FINASTERID PHARMAS</t>
  </si>
  <si>
    <t>MOLUSKAL</t>
  </si>
  <si>
    <t>PROSTEF</t>
  </si>
  <si>
    <t>DATUST</t>
  </si>
  <si>
    <t>0,5 mg</t>
  </si>
  <si>
    <t xml:space="preserve"> Lek se uvodi u terapiju na osnovu mišljenja urologa.</t>
  </si>
  <si>
    <t>DUTRYS</t>
  </si>
  <si>
    <t>AVODART</t>
  </si>
  <si>
    <t>LESTEDON</t>
  </si>
  <si>
    <t>DUTAPROST</t>
  </si>
  <si>
    <t>VERION</t>
  </si>
  <si>
    <t>MINIRIN MELT</t>
  </si>
  <si>
    <t>240 mcg</t>
  </si>
  <si>
    <t>Za prevenciju osteoporotičnih preloma kod novodijagnostikovanih pacijenata sa verifikovanim prelomom uzrokovanim traumom malog inteziteta, kod kojih je nakon  najmanje godinu dana upotrebe bisfosfonata (ili kraće, ako su se razvile neželjenje pojave na bisfosfonate) došlo do novog preloma i pada vrednosti DEXA nalaza u odnosu na vrednost pre početka lečenja.</t>
  </si>
  <si>
    <t xml:space="preserve"> Lek se uvodi u terapiju na osnovu mišljenja tri lekara i to reumatologa, endokrinologa i ortopeda zdravstvene ustanove koja obavlja zdravstvenu delatnost na tercijarnom nivou.</t>
  </si>
  <si>
    <t>TERROSA</t>
  </si>
  <si>
    <t>MOVYMIA</t>
  </si>
  <si>
    <t>PANKLAV</t>
  </si>
  <si>
    <t>1 g</t>
  </si>
  <si>
    <t xml:space="preserve"> 1.  Infekcije gornjeg i donjeg respiratornog trakta (J00- J06.8; J20; J32; J40; J41; J42),
 2.  Infekcije urogenitalnog trakta  ( N30, N34; N36; N37; N39 ),
 3.  Infekcije srednjeg uha ( H65; H66 ).</t>
  </si>
  <si>
    <t>PANKLAV 2X</t>
  </si>
  <si>
    <t xml:space="preserve">AMOKSIKLAV 2X </t>
  </si>
  <si>
    <t xml:space="preserve">AMOKSIKLAV </t>
  </si>
  <si>
    <t>AUGMENTIN</t>
  </si>
  <si>
    <t>1g</t>
  </si>
  <si>
    <t>VALDOCEF</t>
  </si>
  <si>
    <t>1.Infekcije gornjeg respiratornog trakta ( J02-J03);
2.Akutno zapaljenje mokraćne bešike (N30);
3. Infekcija mokraćnih puteva neoznačene lokalizacije (N39.0);
4. Infekcije kože i mekog tkiva (L00-L08).</t>
  </si>
  <si>
    <t>CEROXIM</t>
  </si>
  <si>
    <t>0,5 g</t>
  </si>
  <si>
    <t xml:space="preserve"> 1. Infekcije donjeg respiratornog trakta (J13; J14; J15; J20; J32; J40; J41; J42),
  2. Infekcije kože i i mekog tkiva ( L00-L08 ),
  3. Infekcije mokraćne bešike i mokraćnih puteva ( N30; N34 ), 
  4. Lajmska bolest (A69.2).</t>
  </si>
  <si>
    <t>ZINNAT</t>
  </si>
  <si>
    <t>AKSEF</t>
  </si>
  <si>
    <t>0.5 g</t>
  </si>
  <si>
    <t>CEFZIL</t>
  </si>
  <si>
    <t>1. Infekcije gornjeg i donjeg respiratornog trakta (J00-J06.8; J13; J14; J15; J20; J32; J40; J41; J42), 
2. Infekcije koţe i mekog tkiva ( L00-L08 ), 
3. Infekcije mokraćne bešike i mokraćnih puteva ( N30; N34 ), 
4. Zapaljenje srednjeg uha (H65;H66).</t>
  </si>
  <si>
    <t>PANCEF</t>
  </si>
  <si>
    <t>0,4 g</t>
  </si>
  <si>
    <t>1. Infekcije gornjeg i donjeg respiratornog trakta (J01-J03; J13; J14; J15; J20; J32; J40; J41; J42); 
2. Zapaljenje srednjeg uha (H65; H66); 
3. Urinarne infekcije (N00; N10; N30; N34).</t>
  </si>
  <si>
    <t>CEFAPAN</t>
  </si>
  <si>
    <t>TRIDOX</t>
  </si>
  <si>
    <t>1. Infekcije gornjeg i donjeg respiratornog trakta (J01-J03; J13; J14; J15; J20; J32; J40; J41; J42);
 2. Zapaljenje srednjeg uha (H65;H66);
 3. Urinarne infekcije (N00; N10; N30; N34).</t>
  </si>
  <si>
    <t>ROXIMISAN</t>
  </si>
  <si>
    <t>0,3 g</t>
  </si>
  <si>
    <t>1. Infekcije respiratornog trakta (J00-J06;J15.7;J16.0; J20-J32, J40; J41-J42);
2. Infekcije srednjeg uha (H65;H66);
3. Infekcije kože i mekog tkiva (L00-L08);
4. Infekcije mokraćnih puteva (N34).</t>
  </si>
  <si>
    <t>FROMILID</t>
  </si>
  <si>
    <t>1. Infekcije respiratornog trakta ( J00-J06; J15.7; J16.0; J20-J32; J41-J42 ), 
 2. Infekcije srednjeg uha ( H65; H66 ),
 3. Infekcije kože i i mekog tkiva ( L00-L08 ),
 4. Infekcije želuca i dvanaestopalačnog creva sa Helicobacter pylori (K29),
 5. Infekcije izazvane Mycobacterium ( A31 ).</t>
  </si>
  <si>
    <t>FROMILID UNO</t>
  </si>
  <si>
    <t>KLACID</t>
  </si>
  <si>
    <t>KLACID MR</t>
  </si>
  <si>
    <t>HEMOMYCIN</t>
  </si>
  <si>
    <t>1. Infekcije respiratornog trakta (J00-J06; J15.7; J16.0; J20-J32; J40; J41-J42),
 2. Infekcije srednjeg uha (H65; H66),
 3. Infekcije kože i i mekog tkiva (L00-L08),
 4. Infekcije izazvane Chlamydia-ma (A55;  A56),
 5. Negonokokni uretritis (N34.1),
 6. Cervicitis (N72).</t>
  </si>
  <si>
    <t>SUMAMED KAPSULE</t>
  </si>
  <si>
    <t>SUMAMED TABLETE 500</t>
  </si>
  <si>
    <t>AZIBIOT</t>
  </si>
  <si>
    <t>AZINOCIN</t>
  </si>
  <si>
    <t>CLINDAMYCIN-MIP</t>
  </si>
  <si>
    <t>1,2 g</t>
  </si>
  <si>
    <t>LOFOCIN</t>
  </si>
  <si>
    <t>1. Infekcija respiratornog trakta izazvana uzročnikom Mycoplasma pneumoniae (J15.7);
 2. Infekcije urinarnog trakta (N30; N34; N36; N37; N39);
 3. Akutni bakterijski sinuzitis (J01);
 4. Akutna bakterijska egzacerbacija hroničnog bronhitisa (J41);
 5. Vanbolnička pneumonija (J13-J15).</t>
  </si>
  <si>
    <t>FORTECA</t>
  </si>
  <si>
    <t>LEVOXA</t>
  </si>
  <si>
    <t>LEFLOGAL</t>
  </si>
  <si>
    <t>FOVELID</t>
  </si>
  <si>
    <t>LEVALOX</t>
  </si>
  <si>
    <t>LEBEL</t>
  </si>
  <si>
    <t>LEVO QUIN</t>
  </si>
  <si>
    <t>ELFONIS</t>
  </si>
  <si>
    <t>1. Akutni bakterijski sinuzitis (J01),
2. Akutna bakterijska egzacerbacija hroničnog bronhitisa (J41),
3. Vanbolnička pneumonija (J13-J15; J18),
4. Komplikovane infekcije kože i potkožnog tkiva, kao nastavak uspešne inicijalne intavenske primene leka (L00; L02-L08),
5. Blage do umerene inflamatorne bolesti male karlice (A54.2; N70; N71; N73)</t>
  </si>
  <si>
    <t>Za indikaciju pod tačkom 1. lek se uvodi u terapiju na osnovu mišljenja otorinolaringologa za pacijente bezuspešno lečene drugom antibiotskom terapijom. Za indikacije pod tačkom 2. i 3. lek se uvodi u terapiju na osnovu mišljenja pulmologa ili pneumoftiziologa. Za indikaciju pod tačkom 4. lek se uvodi u terapiju na osnovu mišljenja lekara odgovarajuće specijalnosti iz zdravstvene ustanove koja obavlja zdravstvenu delatnost na sekundarnom ili tercijarnom nivou zdravstvene zaštite. Za indikaciju pod tačkom 5. lek se uvodi u terapiju na osnovu mišljenja ginekologa</t>
  </si>
  <si>
    <t>MOLOXIN</t>
  </si>
  <si>
    <t>0.4 g</t>
  </si>
  <si>
    <t>PIPEM</t>
  </si>
  <si>
    <t>0,8 g</t>
  </si>
  <si>
    <t>MONURAL</t>
  </si>
  <si>
    <t>3 g</t>
  </si>
  <si>
    <t>Lečenje akutnih nekomplikovanih infekcija donjih mokraćnih kanala prouzrokovanih patogenima osetljivim na fosfomicin kod osoba starijih od 12 godina (N30.0).</t>
  </si>
  <si>
    <t>FLUCONAL</t>
  </si>
  <si>
    <t>Lek se uvodi u terapiju  na osnovu mišljenja infektologa ili dermatologa ili hematologa.</t>
  </si>
  <si>
    <t>FLUKOZOL</t>
  </si>
  <si>
    <t>KANAZOL</t>
  </si>
  <si>
    <t>1. Tinea corporis disseminata (  B35.4 ),
  2. Onychomycosis-pulsna terapija ( B35.1 ),
  3. Tinea capitis rezistentna na druge oblike terapije ( B35.0 ),
  4. Pityriasis versicolor  ( B36.0 ).</t>
  </si>
  <si>
    <t xml:space="preserve">  Lek se uvodi u terapiju na osnovu mišljenja dermatologa.</t>
  </si>
  <si>
    <t>NOLVADEX</t>
  </si>
  <si>
    <t>ARIMIDEX</t>
  </si>
  <si>
    <t>25%</t>
  </si>
  <si>
    <t xml:space="preserve"> Karcinom dojke:
 1. Rani steroid-receptor pozitivni karcinom dojke u postmenopauznih bolesnica, PS 0 ili 1, sekvencijalno, posle tri godine primene adjuvantne hormonske terapije tamoksifenom, kao nastavak adjuvantnog lečenja do ukupno 5 godina. Od ovoga se izuzimaju bolesnice sa:
  a) ranim steroid-receptor pozitivnim karcinomom dojke kod postmenopauznih žena, sa niskim rizikom za relaps bolesti, kod kojih će se sprovoditi terapija tamoksifenom do 5 godina;
  b) ranim steroid-receptor pozitivnim karcinomom dojke u postmenopauznih bolesnica, sa visokim rizikom od relapsa bolesti, kod bolesnica koje nisu podobne za primenu adjuvatne hemioterapije i biloške terapije. Kod ovih bolesnica će se primenjivati inhibitori aromataze od početka adjuvantnog hormonskog lečenja u trajanju do 5 godina;
2. Postmenopauzne bolesnice sa steroid-receptor pozitivnim metastatskim karcinomom dojke, pri pojavi prvog relapsa bolesti na adjuvantno ili sistemski primenjen
tamoksifen;
3. Kao prva linija sistemske ili adjuvantne terapije kod bolesnica koje imaju kontraindikacije za primenu tamoksifena (glaukom, duboka venska tromboza, CVI ili
embolija u anamnezi) ili pojavu neželjenih reakcija na tamoksifen (dokazana medikamentna alergija, hiperplazija i/ili polip endometrijuma dokazani histopatološki,
ponavaljanje metroragije.</t>
  </si>
  <si>
    <t>Lek se uvodi u terapiju na osnovu mišljenja tri lekara zdravstvene ustanove koja obavlja zdravstvenu delatnost na tercijarnom nivou zdravstvene zaštite, a nastavak terapije na osnovu mišljenja lekara specijaliste zdravstvene ustanove koja obavlja zdravstvenu delatnost na sekundarnom ili tercijarnom nivou zdravstvene zaštite.</t>
  </si>
  <si>
    <t>ARAVA</t>
  </si>
  <si>
    <t xml:space="preserve">1. Aktivni reumatoidni  artritis ( M05 i M06 )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2. Aktivni psorijazni artritis ( M07 ) - kod odraslih bolesnika kod kojih je primena metotreksata dovela do neželjenih dogadjaja ( gastrična nepodnošljivost, hepatotoksičnost, hematološka toksičnost, alergijske reakcije i drugo ) ili metotreksat ne pokazuje odgovarajuću efikasnost u dozama većim ili jednakim 15 mg nedeljno u toku najmanje šest meseci terapije. </t>
  </si>
  <si>
    <t xml:space="preserve">Lek se uvodi u terapiju na osnovu mišljenja lekara specijaliste odgovarajuće grane medicine zdravstvene  ustanove koja obavlja zdravstvenu delatnost na sekundarnom ili tercijarnom nivou zdravstvene zaštite. </t>
  </si>
  <si>
    <t>BONAP</t>
  </si>
  <si>
    <t xml:space="preserve"> Za lečenje osteoporoze kod pacijenata posle menopauze radi primarne i sekundarne prevencije osteoporotičnih fraktura (M80; M81).</t>
  </si>
  <si>
    <t>Lek se uvodi u terapiju na osnovu mišljenja specijаliste (internista ili reumatolog ili  fizijatar ili ortoped ili ginekolog) kada je osteoporoza verifikovana DEXA T vrednost u L 1- 4 ≤ -2,5  ili  ≤ -2,5 u Total/Neck.</t>
  </si>
  <si>
    <t>ALEFOSS</t>
  </si>
  <si>
    <t>ALVODRONIC</t>
  </si>
  <si>
    <t>IBANDRONAT PHARMAS</t>
  </si>
  <si>
    <t>IDIKA</t>
  </si>
  <si>
    <t>FOSAVANCE</t>
  </si>
  <si>
    <t>TARGINACT</t>
  </si>
  <si>
    <t>Za lečenje umereno jakog do jakog hroničnog bola ( ≥ 5 na NRS od 0-10) kod bolesnika sa nemalignim oboljenjem (R52.1).</t>
  </si>
  <si>
    <t>Lek se uvodi u terapiju na osnovu mišljenja lekara neurologa ili anesteziologa ili subspecijaliste za terapiju bola zdravstvene  ustanove koja obavlja zdravstvenu delatnost na sekundarnom ili tercijarnom nivou zdravstvene zaštite ili u centrima za bol.</t>
  </si>
  <si>
    <t>DUROGESIC</t>
  </si>
  <si>
    <t>1,2 mg</t>
  </si>
  <si>
    <t xml:space="preserve"> Za lečenje teškog neuropatskog bola:
  -nespecifična neuralgija ( M79.2 ),
  -postherpetička i postraumatska  neuralgija ( G53.0 ),
  - trigeminalna neuralgija ( G50 )
  - dijabetička amiotrofija ( G73.0 ), 
  - bolna oftalmoplegija ( H47.0 ),
  - kauzalgija ( R52.1 ),
  -  spondilodiscitis ( M50.1; M51.1 ),
  - dermatopoliomiozitis ( M33; M63 ) koji se tokom dvomesečne primene drugih analgetičkih sredstava (triciklički antidepresivi, nesteroidni antireumatici, neopioidni analgetici, kortikosteroidi, antiepileptici) pokazao rezistentnim uz participaciju osiguranika 75%.</t>
  </si>
  <si>
    <t xml:space="preserve">  Lek se uvodi u terapiju  na osnovu mišljenja  lekara specijaliste neurologa/neuropsihijatra.</t>
  </si>
  <si>
    <t>VICTANYL</t>
  </si>
  <si>
    <t xml:space="preserve"> Lek se uvodi u terapiju  na osnovu mišljenja  lekara specijaliste neurologa/neuropsihijatra.</t>
  </si>
  <si>
    <t>Lek se uvodi u terapiju  na osnovu mišljenja  lekara specijaliste neurologa/neuropsihijatra.</t>
  </si>
  <si>
    <t>TRANSTEC</t>
  </si>
  <si>
    <t xml:space="preserve">
Za lečenje umereno jakog do jakog hroničnog bola ( ≥ 5 na NRS od 0-10) kod bolesnika sa nemalignim oboljenjem (R52.1).
</t>
  </si>
  <si>
    <t xml:space="preserve">
Za lečenje umereno jakog do jakog hroničnog bola ( ≥ 5 na NRS od 0-10) kod bolesnika sa nemalignim oboljenjem (R52.1).
</t>
  </si>
  <si>
    <t xml:space="preserve"> Lek se uvodi u terapiju na osnovu mišljenja lekara neurologa ili anesteziologa ili subspecijaliste za terapiju bola zdravstvene  ustanove koja obavlja zdravstvenu delatnost na sekundarnom ili tercijarnom nivou zdravstvene zaštite ili u centrima za bol.</t>
  </si>
  <si>
    <t>PALEXIA SR</t>
  </si>
  <si>
    <t xml:space="preserve">
 Za lečenje umereno jakog do jakog hroničnog bola ( ≥ 5 na NRS od 0-10) kod bolesnika sa nemalignim oboljenjem (R52.1). 
</t>
  </si>
  <si>
    <t>PALEXIA</t>
  </si>
  <si>
    <t xml:space="preserve">Terapija umerenog do jakog akutnog bola kod odraslih, kada se on može adekvatno kupirati samo opioidnim analgeticima (R52).
</t>
  </si>
  <si>
    <t>SUMATRIPTAN SLAVIAMED</t>
  </si>
  <si>
    <t>Migrena  ( G43 ).</t>
  </si>
  <si>
    <t>Lek se uvodi u terapiju na osnovu mišljenja neurologa/neuropsihijatra.</t>
  </si>
  <si>
    <t>TRECAR</t>
  </si>
  <si>
    <t>Migrena (G43).</t>
  </si>
  <si>
    <t>FROVAMAX</t>
  </si>
  <si>
    <t>Migrena (G43)</t>
  </si>
  <si>
    <t>Lek se uvodi u terapiju na osnovu mišljenja neurologa/neuropsihijatra</t>
  </si>
  <si>
    <t>KATENA</t>
  </si>
  <si>
    <t>1,8 g</t>
  </si>
  <si>
    <t xml:space="preserve">Neuropatski bol  (G50; G51; G53 - G63 ). </t>
  </si>
  <si>
    <t xml:space="preserve"> Lek se uvodi u terapiju na osnovu mišljenja neurologa/neuropsihijatra ili za šifre G62.0 i G63.1 i na osnovu mišljenja onkologa zdravstvene ustanove koja obavlja zdravstvenu delatnost na tercijarnom nivou.  </t>
  </si>
  <si>
    <t>NEURONTIN</t>
  </si>
  <si>
    <t>KEPPRA</t>
  </si>
  <si>
    <t>1. Epilepsija - kao monoterapija za bolesnike starije od
16 godina sa refrakternim parcijalnim napadima sa ili
bez sekundarne generalizacije (G40);
2. Epilepsija - kao dodatna terapija za bolesnike sa
rezistentnom parcijalnom epilepsijom kod odraslih i dece
iznad 4 godine starosti (G40);
3. Epilepsija - kao dodatna terapija za bolesnike sa
rezistentnom miokloničnom epilepsijom kod odraslih i
adolescenata iznad 12 godina starosti sa juvenilnom
miokloničnom epilepsijom (G40);
4. Epilepsija - kao dodatna terapija za bolesnike sa
primarnim generalizovanim rezistentnim tonično -
kloničnim napadima kod odraslih i adolescenata iznad
12 godina starosti sa idiopatskom generalizovanom
epilepsijom (G40).</t>
  </si>
  <si>
    <t xml:space="preserve"> Za indikaciju pod tačkom 1.,2.,3. i 4.,  lek se uvodi u terapiju na osnovu mišljenja neurologa/neuropsihijatra/neurohirurga/ psihijatra/dečjeg neurologa ili pedijatra  zdravstvene ustanove koja obavlja zdravstvenu delatnost na sekundarnom ili tercijarnom nivou.     </t>
  </si>
  <si>
    <t>LYRICA</t>
  </si>
  <si>
    <t xml:space="preserve">  Neuropatski bol  (G50; G51; G53 - G63 ). </t>
  </si>
  <si>
    <t>Lek se uvodi u terapiju na osnovu mišljenja neurologa/neuropsihijatra  ili za šifre G62.0 i G63.1 i na osnovu mišljenja onkologa.</t>
  </si>
  <si>
    <t>EPICA</t>
  </si>
  <si>
    <t>Neuropatski bol (G50; G51; G53 - G63 ).</t>
  </si>
  <si>
    <t>PRAGIOLA</t>
  </si>
  <si>
    <t>0.3 g</t>
  </si>
  <si>
    <t>ELUMELA</t>
  </si>
  <si>
    <t>PREGALIX</t>
  </si>
  <si>
    <t>GABAPREG</t>
  </si>
  <si>
    <t>STALEVO</t>
  </si>
  <si>
    <t>0,45 g</t>
  </si>
  <si>
    <t>Kod pacijenata sa Parkinsonovom bolešću, kod dugogodišnjeg rezistentnog pacijenta na primarnu terapiju.</t>
  </si>
  <si>
    <t>Lek se uvodi u terapiju po predlogu lekara tercijarnog nivoa zdravstvene zaštite.</t>
  </si>
  <si>
    <t>CARBOMA</t>
  </si>
  <si>
    <t>REQUIP MODUTAB</t>
  </si>
  <si>
    <t>6 mg</t>
  </si>
  <si>
    <t>Parkinsonova bolest ( G20; G21; G22 ).</t>
  </si>
  <si>
    <t xml:space="preserve"> Lek se uvodi u terapiju na osnovu mišljenja neurologa/neuropsihijatra.</t>
  </si>
  <si>
    <t>ROLPRYNA SR</t>
  </si>
  <si>
    <t>DENSIKO XL</t>
  </si>
  <si>
    <t>MIRAPEXIN</t>
  </si>
  <si>
    <t xml:space="preserve"> Parkinsonova bolest ( G20; G21; G22 ).</t>
  </si>
  <si>
    <t>OPRYMEA SR</t>
  </si>
  <si>
    <t>AZILECT</t>
  </si>
  <si>
    <t xml:space="preserve"> Novodijagnostifikovani pacijenti oboleli od Parkinsonove bolesti ( G20 ), najduže tokom prvih pet godina trajanja bolesti.</t>
  </si>
  <si>
    <t>Lek se uvodi u terapiju na osnovu mišljenja tri lekara neurologa/neuropsihijatra u zdravstvenoj ustanovi koja obavlja zdravstvenu delatnost na tercijarnom nivou.</t>
  </si>
  <si>
    <t>RAZIX</t>
  </si>
  <si>
    <t xml:space="preserve"> Novodijagnostifikovani pacijenti oboleli od Parkinsonove bolesti (G20), najduže tokom prvih pet godina trajanja bolesti.</t>
  </si>
  <si>
    <t>COMTAN</t>
  </si>
  <si>
    <t>CLOZAPINE  REMEDICA</t>
  </si>
  <si>
    <t>1. Šizofrenija (F20.0 - F20.9) i drugi psihotični poremećaji (F29, F06.2) sa nezadovoljavajućim odgovorom na dva prethodno primenjena antipsihotika uz periodični monitoring leukocitarne formule, prema uputstvu proizvođača.
2. Psihotični poremećaji koji se javljaju u okviru Parkinsonove bolesti i drugih oblika parkinsonizma (G20-G22)</t>
  </si>
  <si>
    <t xml:space="preserve">Lek se uvodi u terapiju na osnovu mišljenja psihijatra/neuropsihijatra/neurologa </t>
  </si>
  <si>
    <t>CLOZAPIN SANDOZ</t>
  </si>
  <si>
    <t>LEPONEX</t>
  </si>
  <si>
    <t>NEOZAPIN</t>
  </si>
  <si>
    <t>KVENTIAX</t>
  </si>
  <si>
    <t>1. Šizofrenija i drugi psihotični poremećaji (F20-F29)
 2. Manične, depresivne i mešovite epizode povezane sa bipolarnim poremećajima sa ili bez psihotičnih simptoma (F31).</t>
  </si>
  <si>
    <t xml:space="preserve"> Lek se uvodi u terapiju na osnovu mišljenja psihijatra ili neuropsihijatra.</t>
  </si>
  <si>
    <t>ACTAWELL</t>
  </si>
  <si>
    <t>1. Šizofrenija i drugi psihotični poremećaji (F20-F29)
2. Manične, depresivne i mešovite epizode povezane sa bipolarnim poremećajima sa ili bez psihotičnih simptoma (F31).</t>
  </si>
  <si>
    <t>Lek se uvodi u terapiju na osnovu mišljenja psihijatra ili neuropsihijatra.</t>
  </si>
  <si>
    <t>Q - PIN</t>
  </si>
  <si>
    <t>KVENTIAX SR</t>
  </si>
  <si>
    <t>ACTAWELL XR</t>
  </si>
  <si>
    <t>PENTIAX</t>
  </si>
  <si>
    <t>RISPOLEPT</t>
  </si>
  <si>
    <t>1. Šizofrenija, šizotipski poremećaji i poremećaji sa sumanutošću (F20 - F29),
 2. Bipolarni afektivni poremećaj (F31)
 3. Prolazna psihotična stanja kod organskih poremećaja (F00.0, F06.0; F06.2; F06.9 ).</t>
  </si>
  <si>
    <t>Za indikacije pod 1. i 2. samo za osobe starije od 18 godina,
Lek se uvodi u terapiju na osnovu mišljenja psihijatra ili neuropsihijatra ili neurologa.</t>
  </si>
  <si>
    <t>REAGILA</t>
  </si>
  <si>
    <t>3mg</t>
  </si>
  <si>
    <t>Šizofrenija, šizotipski poremećaji i poremećaji sa sumanutošću (F20 - F29).</t>
  </si>
  <si>
    <t>LORAZEPAM HF</t>
  </si>
  <si>
    <t>Lek propisuje izabrani lekar bez mišljenja lekara specijaliste određene grane medicine  do tri meseca u toku 12 meseci, a nastavak terapije uz mišljenje lekara specijaliste određene grane medicine  (psihijatra ili neuropsihijatra ili neurologa ).</t>
  </si>
  <si>
    <t>LORSILAN</t>
  </si>
  <si>
    <t>BROMAZEPAM HF</t>
  </si>
  <si>
    <t>LEXILIUM</t>
  </si>
  <si>
    <t>LEXAURIN</t>
  </si>
  <si>
    <t>KSALOL</t>
  </si>
  <si>
    <t>1  mg</t>
  </si>
  <si>
    <t>HELEX</t>
  </si>
  <si>
    <t>MAPRAZAX</t>
  </si>
  <si>
    <t>NIPAM</t>
  </si>
  <si>
    <t>FLORMIDAL</t>
  </si>
  <si>
    <t>Lek se uvodi u terapiju na osnovu mišljenja  psihijatra ili neuropsihijatra ili neurologa.</t>
  </si>
  <si>
    <t>SANVAL</t>
  </si>
  <si>
    <t>Lek se uvodi u terapiju na osnovu mišljenja psihijatra ili neuropsihijatra ili neurologa.</t>
  </si>
  <si>
    <t>BELBIEN</t>
  </si>
  <si>
    <t>LUNATA</t>
  </si>
  <si>
    <t>ANAFRANIL</t>
  </si>
  <si>
    <t>SEROXAT</t>
  </si>
  <si>
    <t xml:space="preserve"> 1. Depresivna epizoda (F32),
 2. Rekurentni depresivni poremećaj (F33),
 3. Agorafobija (F40.0),
 4. Drugi anksiozni poremećaji (F41),
 5. Opsesivno - kompulsivni  poremećaji  (F42),
 6. Posttraumatski stresni poremećaj (F43.1),
 7. Organski anksiozni poremećaj (F06.4).</t>
  </si>
  <si>
    <t>Samo za osobe starije od 18 godina.
Lek se uvodi u terapiju  na osnovu mišljenja  psihijatra ili neuropsihijatra ili neurologa.</t>
  </si>
  <si>
    <t>AURORIX</t>
  </si>
  <si>
    <t xml:space="preserve"> Lek se uvodi u terapiju na osnovu mišljenja psihijatra/neuropsihijatra.</t>
  </si>
  <si>
    <t>TOLVON</t>
  </si>
  <si>
    <t>1. Akutna depresivna epizoda (F32);
2. Rekurentna depresivna epizoda (F33).</t>
  </si>
  <si>
    <t xml:space="preserve"> Lek se uvodi u terapiju  na osnovu mišljenja  psihijatra ili neuropsihijatra ili neurologa.</t>
  </si>
  <si>
    <t>TRITTICO Retard</t>
  </si>
  <si>
    <t>1. Depresija ( F32 )
2. Rekurentna depresivna epizoda ( F33 ).</t>
  </si>
  <si>
    <t>Lek se uvodi u terapiju za indikacije pod tačkom 1. i 2. na osnovu mišljenja psihijatra/neuropsihijatra.</t>
  </si>
  <si>
    <t>CALIXTA</t>
  </si>
  <si>
    <t>1. Depresivna epizoda (F32),
2. Rekurentni  depresivni poremećaj   (F33).</t>
  </si>
  <si>
    <t>Lek se uvodi u terapiju  na osnovu mišljenja  psihijatra ili neuropsihijatra ili neurologa.</t>
  </si>
  <si>
    <t>REMIRTA</t>
  </si>
  <si>
    <t xml:space="preserve">MIRZATEN </t>
  </si>
  <si>
    <t>WELLBUTRIN XR</t>
  </si>
  <si>
    <t>300 mg</t>
  </si>
  <si>
    <t>1. Depresivna epizoda (F32),
2. Rekurentni  depresivni poremećaj   ( F33.0; F33.1; F33.2; F33.4, F33.8; F33.9 ).</t>
  </si>
  <si>
    <t>ALVENTA</t>
  </si>
  <si>
    <t xml:space="preserve">1. Depresivna epizoda (F32),
2. Rekurentni depresivni poremećaj (F33),
3. Agorafobija  (F40.0),
4. Socijalna fobija (F40.1),
5. Drugi anksiozni poremećaji (F41),
6. Posttraumatski stresni poremećaji (F43.1). </t>
  </si>
  <si>
    <t>VENLAX</t>
  </si>
  <si>
    <t>VELAFAX</t>
  </si>
  <si>
    <t>1. Depresivna epizoda (F32),
2. Rekurentni depresivni poremećaj (F33),
3. Agorafobija (F40.0),
4. Socijalna fobija (F40.1),
5. Drugi anksiozni poremećaji (F41),
6. Posttraumatski stresni poremećaji (F43.1).</t>
  </si>
  <si>
    <t>TAITA</t>
  </si>
  <si>
    <t>1. Teške depresivne epizode (F32.2;F32.3)
2. Rekurentni depresivni poremećaj (F33)
3. Generalizovani anksiozni poremećaji (F41.1)
4. Neuropatski bol (G63.2)</t>
  </si>
  <si>
    <t>Za indikacije pod tačkom 1, 2 i 3 lek se uvodi u terapiju na  osnovu mišljenja  psihijatra ili neuropsihijatra ili neurologa, a pod tačkom 4. na osnovu mišljenja neurologa ili neuropsihijatra</t>
  </si>
  <si>
    <t>DULSEVIA</t>
  </si>
  <si>
    <t>Za indikacije pod tačkom 1, 2 i 3 lek se uvodi u terapiju na  osnovu mišljenja  psihijatra ili neuropsihijatra ili neurologa, a pod tačkom 4. na osnovu mišljenja neurologa ili neuropsihijatra.</t>
  </si>
  <si>
    <t>DUXET</t>
  </si>
  <si>
    <t>25 mg</t>
  </si>
  <si>
    <t>1. Depresivna epizoda (F32), 
2. Rekurentni depresivni poremećaj (F33).</t>
  </si>
  <si>
    <t xml:space="preserve"> Lek se uvodi u terapiju  na osnovu mišljenja psihijatra ili neuropsihijatra ili neurologa.</t>
  </si>
  <si>
    <t>MENTELA</t>
  </si>
  <si>
    <t>MELAXIN</t>
  </si>
  <si>
    <t>DESENDA</t>
  </si>
  <si>
    <t>1. Depresivna  epizoda (F32.1, F32.2, F32.3)
2. Rekurentni depresivni poremećaj (F33.1, F33.2, F33.3)</t>
  </si>
  <si>
    <t>Lek se uvodi u terapiju  na osnovu mišljenja psihijatra ili neuropsihijatra ili neurologa.</t>
  </si>
  <si>
    <t>YASNAL</t>
  </si>
  <si>
    <t>7,5 mg</t>
  </si>
  <si>
    <t xml:space="preserve"> Alzheimerova bolest (G30; F00).</t>
  </si>
  <si>
    <t>TREGONA</t>
  </si>
  <si>
    <t>Alzheimerova bolest (G30; F00).</t>
  </si>
  <si>
    <t>DONECEPT</t>
  </si>
  <si>
    <t>EXELON</t>
  </si>
  <si>
    <t>9 mg</t>
  </si>
  <si>
    <t>1. Alzheimerova bolest (G30; F00).   
2. Demencija u Parkinsonovoj bolesti (F02.3)</t>
  </si>
  <si>
    <t>NIMVASTID</t>
  </si>
  <si>
    <t>1. Alzheimerova bolest (G30; F00).
2. Demencija u Parkinsonovoj bolesti (F02.3)</t>
  </si>
  <si>
    <t xml:space="preserve">Blago do umereno teška demencija Alchajmerovog tipa (G30; F00). </t>
  </si>
  <si>
    <t>9,5 mg</t>
  </si>
  <si>
    <t>MEMANDO</t>
  </si>
  <si>
    <t>NEMDATINE</t>
  </si>
  <si>
    <t>YMANA</t>
  </si>
  <si>
    <t>MEMALIS</t>
  </si>
  <si>
    <t>CAMPRAL</t>
  </si>
  <si>
    <t>Održavanje apstinencije kod pacijenata zavisnih od alkohola u kombinaciji sa psihološkim savetovanjem (F10).</t>
  </si>
  <si>
    <t>Lek se uvodi u terapiju na osnovu mišljenja psihijatra/neuropsihijatra.</t>
  </si>
  <si>
    <t>Održavanje opijatske zavisnosti   (F11).</t>
  </si>
  <si>
    <t>Lek se uvodi u terapiju  na osnovu mišljenja  tri lekara  psihijatra ili neuropsihijatra.</t>
  </si>
  <si>
    <t>BUPRENORFIN ALKALOID</t>
  </si>
  <si>
    <t>8 mg</t>
  </si>
  <si>
    <t>Lečenje  zavisnosti od opijata (F11).</t>
  </si>
  <si>
    <t>Za supstituciju,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detoksikaciju, lek se uvodi i detoksikacija sprovodi isključivo u sledećim zdravstvenim ustanovama:
     - UKC Kragujevac- Klinika za psihijatriju
     - UKC Vojvodine- Klinika za psihijatriju
     - UKC Niš- Klinika za zaštitu mentalnog zdravlja
     - Specijalna bolnica za psihijatrijske bolesti „Gornja Toponica”
     - Specijalna bolnica za bolesti zavisnosti u Beogradu.</t>
  </si>
  <si>
    <t>BUPREFEX</t>
  </si>
  <si>
    <t>BUPROBOL</t>
  </si>
  <si>
    <t>BULNEXO</t>
  </si>
  <si>
    <t>Lečenje zavisnosti od opijata (F11).</t>
  </si>
  <si>
    <t>BECONASE</t>
  </si>
  <si>
    <t>SEREVENT Inhaler CFC-Free</t>
  </si>
  <si>
    <t>100 mcg</t>
  </si>
  <si>
    <t>1. Bronhijalna astma, samo uz terapiju inhalacionim kortikosteroidima (J45),
2. Hronična opstruktivna bolest pluća kod odraslih za umereno teške, teške i veoma teške ( II, III ili IV stadijum) oblike bolesti (J44).</t>
  </si>
  <si>
    <t>Lek se uvodi u terapiju za indikacije pod tačkama 1. i 2.  na osnovu  mišljenja  pulmologa ili pneumoftiziologa ili alergologa ili imunologa ili  interniste  u službi pulmologije.</t>
  </si>
  <si>
    <t>OXIS TURBUHALER</t>
  </si>
  <si>
    <t>24 mcg</t>
  </si>
  <si>
    <t>ONBREZ BREEZHALER</t>
  </si>
  <si>
    <t>0,15mg</t>
  </si>
  <si>
    <t>Hronična opstruktivna bolest pluća kod odraslih za umereno teške, teške i veoma teške ( II, III ili IV stadijum) oblike bolesti (J44).</t>
  </si>
  <si>
    <t>Lek se uvodi u terapiju na osnovu  mišljenja pulmologa ili pneumoftiziologa ili alergologa ili imunologa ili  interniste  u službi pulmologije.</t>
  </si>
  <si>
    <t>SERETIDE DISCUS</t>
  </si>
  <si>
    <t>2 inh.</t>
  </si>
  <si>
    <t>1. Bronhijalna astma  (J45).
2. Hronična opstruktivna bolest pluća kod odraslih kod kojih je postbronhodilatatorni FEV1≤60% (J44).</t>
  </si>
  <si>
    <t>Za indikacije pod tačkom 1. i 2. lek se uvodi u terapiju na osnovu  mišljenja pulmologa ili pneumoftiziologa ili alergologa ili imunologa ili  interniste  u službi pulmologije. Za  indikaciju pod tačkom 2. mišljenje mora da sadrži vrednost postbronhodilatatornog FEV1.</t>
  </si>
  <si>
    <t>1.  Bronhijalna astma  (J45).
2.  Hronična opstruktivna bolest pluća kod odraslih kod kojih je postbronhodilatatorni FEV1≤60% (J44).</t>
  </si>
  <si>
    <t>AIRFLUSAL FORSPIRO</t>
  </si>
  <si>
    <t>ASARIS</t>
  </si>
  <si>
    <t>4 inh.</t>
  </si>
  <si>
    <t>SYMBICORT TURBUHALER</t>
  </si>
  <si>
    <t>1. Bronhijalna astma (J45).
2. Hronična opstruktivna bolest pluća kod odraslih kod kojih je postbronhodilatatorni FEV1&lt;50% (J44).</t>
  </si>
  <si>
    <t>4inh</t>
  </si>
  <si>
    <t>SYMBICORT</t>
  </si>
  <si>
    <t xml:space="preserve">
Hronična opstruktivna bolest pluća kod odraslih kod kojih je postbronhodilatatorni FEV1≤60% (J44).</t>
  </si>
  <si>
    <t>Lek se uvodi u terapiju na osnovu  mišljenja pulmologa ili pneumoftiziologa ili alergologa ili imunologa ili  interniste  u službi pulmologije.
Mišljenje mora da sadrži vrednost postbronhodilatatornog FEV1.</t>
  </si>
  <si>
    <t>DUORESP SPIROMAX</t>
  </si>
  <si>
    <t>AIRBUFO FORSPIRO</t>
  </si>
  <si>
    <t>FOSTER</t>
  </si>
  <si>
    <t>FOSTER NEXTHALER</t>
  </si>
  <si>
    <t>RELVAR ELLIPTA</t>
  </si>
  <si>
    <t>1 doza</t>
  </si>
  <si>
    <t>Bronhijalna astma (J45)</t>
  </si>
  <si>
    <t xml:space="preserve"> Lek se uvodi u terapiju na osnovu  mišljenja pulmologa ili pneumoftiziologa ili alergologa ili imunologa ili  interniste  u službi pulmologije.</t>
  </si>
  <si>
    <t>ANORO ELLIPTA</t>
  </si>
  <si>
    <t>1 inh.</t>
  </si>
  <si>
    <t>Hronična opstruktivna bolest pluća kod odraslih za umereno teške, teške i veoma teške (II, III ili IV stadijum) oblike bolesti (J44).</t>
  </si>
  <si>
    <t>Lek se uvodi u terapiju na osnovu mišljenja pulmologa ili pneumoftiziologa ili alergologa ili imunologa  ili interniste u službi pulmologije.</t>
  </si>
  <si>
    <t>ULTIBRO BREEZHALER</t>
  </si>
  <si>
    <t>Terapija održavanja bronhodilatatorima za olakšanje simptoma kod odraslih pacijenata sa hroničnom opstruktivnom bolešću pluća (HOBP), kod kojih se nije postigla redukcija dispneje dotadašnjom primenom jednog (monokomponentnog) dugodelujućeg bronhodilatatora (J44).</t>
  </si>
  <si>
    <t>BRIMICA GENUAIR</t>
  </si>
  <si>
    <t xml:space="preserve">2 inh. </t>
  </si>
  <si>
    <t>SPIOLTO RESPIMAT</t>
  </si>
  <si>
    <t>Lek se uvodi u terapiju na osnovu mišljenja pulmologa ili pneumoftiziologa ili alergologa ili imunologa ili interniste u službi pulmologije.</t>
  </si>
  <si>
    <t>TRELEGY ELLIPTA</t>
  </si>
  <si>
    <t>Hronična opstruktivna bolest pluća kod odraslih kod kojih je postbronhodilatatorni FEV≤60%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t>
  </si>
  <si>
    <t>TRIMBOW</t>
  </si>
  <si>
    <t>TRIXEO AEROSPHERE</t>
  </si>
  <si>
    <t>PULMICORT TURBUHALER</t>
  </si>
  <si>
    <t>800 mcg</t>
  </si>
  <si>
    <t xml:space="preserve"> Bronhijalna astma (J45).</t>
  </si>
  <si>
    <t>FLIXOTIDE</t>
  </si>
  <si>
    <t xml:space="preserve">ALVESCO </t>
  </si>
  <si>
    <t>0,16 mg</t>
  </si>
  <si>
    <t>SPIRIVA</t>
  </si>
  <si>
    <t>18 mcg</t>
  </si>
  <si>
    <t>SPIRIVA RESPIMAT</t>
  </si>
  <si>
    <t>5 mcg</t>
  </si>
  <si>
    <t>BRALTUS</t>
  </si>
  <si>
    <t>10 mcg</t>
  </si>
  <si>
    <t>BRETARIS GENUAIR</t>
  </si>
  <si>
    <t>0,644mg</t>
  </si>
  <si>
    <t>SEEBRI BREEZHALER</t>
  </si>
  <si>
    <t>44mcg</t>
  </si>
  <si>
    <t>INCRUSE ELLIPTA</t>
  </si>
  <si>
    <t>55mcg</t>
  </si>
  <si>
    <t>SINGULAIR</t>
  </si>
  <si>
    <t>Bronhijalna astma (J45).</t>
  </si>
  <si>
    <t xml:space="preserve">Lek se uvodi u terapiju kao dodatna  terapija kada primena inhalacionih kortikosteroida  ne obezbeđuje odgovarajuću kontrolu bolesti.
Lek se uvodi u terapiju na osnovu mišljenja pulmologa ili pneumoftiziologa  ili alergologa ili imunologa ili interniste u službi pulmologije. </t>
  </si>
  <si>
    <t>ALVOKAST</t>
  </si>
  <si>
    <t>TELUKA</t>
  </si>
  <si>
    <t>DAXAS</t>
  </si>
  <si>
    <t>Hronična opstruktivna bolest pluća, kao dodatna terapija, kod odraslih za teške i veoma teške ( III ili IV stadijum) oblike bolesti sa čestim egzacerbacijama (dve ili više godišnje) (J44).</t>
  </si>
  <si>
    <t>Lek se uvodi u terapiju na osnovu  mišljenja pulmologa ili pneumoftiziologa ili alergologa ili imunologa ili interniste u službi pulmologije.</t>
  </si>
  <si>
    <t>GALITIFEN</t>
  </si>
  <si>
    <t>2 mg</t>
  </si>
  <si>
    <t>Samo za decu stariju od 2 godine.</t>
  </si>
  <si>
    <t>LEXAVON</t>
  </si>
  <si>
    <t>Bakterijski konjuktivitis (H10.0)</t>
  </si>
  <si>
    <t>VIGAMOX</t>
  </si>
  <si>
    <t xml:space="preserve">NEODEKSACIN </t>
  </si>
  <si>
    <t>ALPHAGAN</t>
  </si>
  <si>
    <t>0,2 ml</t>
  </si>
  <si>
    <t>Lek se uvodi u terapiju  na osnovu mišljenja oftalmologa.</t>
  </si>
  <si>
    <t>BRIMONAL 0,2%</t>
  </si>
  <si>
    <t>BRIMODROP</t>
  </si>
  <si>
    <t>1. Za lečenje glaukoma (H40) kao druga ili treća terapijska linija (odnosno prva ili druga kada postoji kontraindikacija na primenu beta-adrenergičkih blokatora).
2. Za lečenje glaukoma (H40) kod obolelih kod kojih je ranije dijagnostikovana bolest i koji se već nalaze na lečenju kao nastavak terapije ovim lekom, na osnovu mišljenja oftalmologa.</t>
  </si>
  <si>
    <t xml:space="preserve"> Lek se uvodi u terapiju  na osnovu mišljenja oftalmologa.</t>
  </si>
  <si>
    <t>SIMBRINZA</t>
  </si>
  <si>
    <t xml:space="preserve">Smanjenje povišenog intraokularnog pritiska (IOP) kod odraslih pacijenata sa glaukomom otvorenog ugla ili očnom hipertenzijom kod kojih monoterapija ne dovodi do dovoljnog smanjenja IOP (H40).        </t>
  </si>
  <si>
    <t>Lek se uvodi na osnovu mišljenja oftalmologa.</t>
  </si>
  <si>
    <t>GANFORT</t>
  </si>
  <si>
    <t>0,1 ml</t>
  </si>
  <si>
    <t>1. Za lečenje glaukoma (H40) kao druga ili treća terapijska linija.
2. Za lečenje glaukoma (H40) kod obolelih kod kojih je ranije dijagnostikovana bolest i koji se već nalaze na lečenju kao nastavak terapije ovim lekom, na osnovu mišljenja oftalmologa.</t>
  </si>
  <si>
    <t xml:space="preserve">Lek se uvodi u terapiju na osnovu mišljenja oftalmologa. </t>
  </si>
  <si>
    <t>GLABRILUX PLUS</t>
  </si>
  <si>
    <t>COSOPT</t>
  </si>
  <si>
    <t>Lek se uvodi u terapiju na osnovu mišljenja oftalmologa.</t>
  </si>
  <si>
    <t>COSOPT bez konzervansa</t>
  </si>
  <si>
    <t>XALACOM</t>
  </si>
  <si>
    <t>1. Za lečenje glaukoma (H40) kao druga ili treća terapijska linija.
 2. Za lečenje glaukoma (H40) kod obolelih kod kojih je ranije dijagnostikovana bolest i koji se već nalaze na lečenju kao nastavak terapije ovim lekom, na osnovu mišljenja oftalmologa.</t>
  </si>
  <si>
    <t>DUOTRAV</t>
  </si>
  <si>
    <t>0,1ml</t>
  </si>
  <si>
    <t>AZARGA</t>
  </si>
  <si>
    <t>0.2 ml</t>
  </si>
  <si>
    <t>LUMIGAN</t>
  </si>
  <si>
    <t>BIRMOST</t>
  </si>
  <si>
    <t>GLABRILUX</t>
  </si>
  <si>
    <t>TRAVATAN</t>
  </si>
  <si>
    <t>SAFLUTAN</t>
  </si>
  <si>
    <t xml:space="preserve">DEXAMETHASON-NEOMYCIN </t>
  </si>
  <si>
    <t>0,6 mg</t>
  </si>
  <si>
    <t>ZELIFTAN</t>
  </si>
  <si>
    <t>TAMSUNORM COMBI</t>
  </si>
  <si>
    <t>PRICORON</t>
  </si>
  <si>
    <t>ALTUXERIN</t>
  </si>
  <si>
    <t>SANAZIL</t>
  </si>
  <si>
    <t>TENIA</t>
  </si>
  <si>
    <t>RAMDOPIN</t>
  </si>
  <si>
    <t>ATEKAGO</t>
  </si>
  <si>
    <t>BRIMONIDIN HF</t>
  </si>
  <si>
    <t>EUTHYROX</t>
  </si>
  <si>
    <t>150 mcg</t>
  </si>
  <si>
    <t>1. U kombinaciji sa drugim oralnim antidijabetikom:
 - metformin kod odraslih pacijenata, naročito gojaznih, kod kojih nije moguće regulisati glikemiju upotrebom maksimalno tolerisanih doza metformina;  
- sulfonilureja samo kod pacijenata koji pokazuju netoleranciju na metformin ili kod kojih je kontraindikovana primena metformina, a kod kojih se kontrola glikemije nije mogla postići uprkos primeni maksimalno tolerisanih doza sulfonilureje.(E11.0; E11.2-E11.9)
2. U kombinaciji sa insulinom kod odraslih pacijenata obolelih od diabetes mellitus tip 2, kod kojih se kontrola glikemije nije mogla postići upotrebom samo insulina, a upotreba metformina je kontraindikovana ili postoji njegova netolerancija (E11.0; E11.2-E11.9)</t>
  </si>
  <si>
    <t>VIGANTOL</t>
  </si>
  <si>
    <t>Lek se uvodi u terapiju na osnovu mišljenja endokrinologa. Preosetljivost ili nepodnošenje metformina potrebno označiti na receptu.</t>
  </si>
  <si>
    <t xml:space="preserve">Samo za decu. Lek se uvodi u terapiju na osnovu mišljenja dermatologa.
Lek se primenjuje u stacionarnoj zdravstvenoj ustanovi, izuzetno lek se izdaje i uz lekarski recept, u cilju nastavka terapije kod kuće, što mora biti naznačeno na receptu. </t>
  </si>
  <si>
    <t>ZOLOFT</t>
  </si>
  <si>
    <t xml:space="preserve"> 1. Depresivna epizoda (F32),
 2. Rekurentni depresivni poremećaj (F33),
 3. Agorafobija (F40.0),
 4. Drugi anksiozni poremećaji (F41),
 5. Opsesivno - kompulsivni  poremećaji (F42),
 6. Posttraumatski stresni poremećaj (F43.1),
 7. Organski anksiozni poremećaj (F06.4).</t>
  </si>
  <si>
    <t>Za indikaciju pod tačkom 1, 2, 3, 4, 6. i 7. samo za osobe starije od 18 godina.
Za indikaciju pod tačkom 5. samo za osobe starije od 6 godina.
Lek se uvodi u terapiju na osnovu mišljenja psihijatra ili neuropsihijatra ili neurologa.</t>
  </si>
  <si>
    <t>MEGLUCON XR</t>
  </si>
  <si>
    <t>GLUFORMIN XR</t>
  </si>
  <si>
    <t>2 g</t>
  </si>
  <si>
    <t>LIRUX</t>
  </si>
  <si>
    <t>1,5 mg</t>
  </si>
  <si>
    <t>Za bolesnike sa tipom 2 dijabetesa sa neregulisanom glikemijom nakon primene dva oralna antihiperglikemijska agensa ili jednog oralnog antihiperglikemijskog agensa i bazalnog insulina, koji ne postižu HbA1c&lt;7% i koji uz to imaju 
•	indeks telesne mase ≥30 kg/m2 ili 
•	indeks telesne mase ≥28 kg/m2 i dokazanu kardiovaskularnu bolest.</t>
  </si>
  <si>
    <t>Nakon šestomesečnog lečenja potrebno je proceniti efekat lečenja, a nastavak lečenja moguć je isključivo ukoliko postoji pozitivan odgovor na lečenje (smanjenje HbA1c za najmanje 0,5%) i/ili gubitak na telesnoj masi od 3%.
Lek se uvodi u terapiju na osnovu mišljenja endokrinologa ili interniste.</t>
  </si>
  <si>
    <t>EPSARA</t>
  </si>
  <si>
    <t>ARPRENESSA</t>
  </si>
  <si>
    <t>LYSSILAC</t>
  </si>
  <si>
    <t>PERCARNIL TRIO</t>
  </si>
  <si>
    <t>PROSTULOSIN</t>
  </si>
  <si>
    <t>TANCER</t>
  </si>
  <si>
    <t>CISOF</t>
  </si>
  <si>
    <t>PREGABALIN VIATRIS</t>
  </si>
  <si>
    <t>BROMAZEPAM DR. MAX</t>
  </si>
  <si>
    <t>NALTREXONE PROVIDENS</t>
  </si>
  <si>
    <t>BRIMONIDINE FARMALOGIST</t>
  </si>
  <si>
    <t>1. Hronična opstruktivna bolest pluća kod odraslih kod kojih je postbronhodilatatorni FEV≤50% i  čija je bolest sklona pogoršanjima, odnosno koji su u prethodnoj godini imali najmanje dve srednje teške ili najmanje jednu tešku bolnički lečenu egzacerbaciju HOBP neinfektivne etiologije, i pored redovne terapije dugodelujućim beta2-agonistom i inhalacionim kortikosteroidom, ili i pored redovne terapije dugodelujućim beta2-agonistom  i dugodelujućim antiholinergikom.
2. Bronhijalna astma (J45).</t>
  </si>
  <si>
    <t>Participacija osiguranog lica/broj</t>
  </si>
  <si>
    <t>Nova participacija/broj</t>
  </si>
  <si>
    <t>Nova participacija</t>
  </si>
  <si>
    <t>Vrednost</t>
  </si>
  <si>
    <t>Stara participacija</t>
  </si>
  <si>
    <t>Prethodna RSD</t>
  </si>
  <si>
    <t>Nova RSD</t>
  </si>
  <si>
    <t>Koeficijent stari</t>
  </si>
  <si>
    <t>Koeficijent novi</t>
  </si>
  <si>
    <t>Prethodna</t>
  </si>
  <si>
    <t>Nova</t>
  </si>
  <si>
    <t>ISTO!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</si>
</sst>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dd/mm/yyyy;@"/>
    <numFmt numFmtId="165" formatCode="_-* #,##0.00\ _R_S_D_-;\-* #,##0.00\ _R_S_D_-;_-* &quot;-&quot;??\ _R_S_D_-;_-@_-"/>
    <numFmt numFmtId="166" formatCode="_-* #,##0.00\ _d_i_n_._-;\-* #,##0.00\ _d_i_n_._-;_-* &quot;-&quot;??\ _d_i_n_._-;_-@_-"/>
    <numFmt numFmtId="167" formatCode="&quot; &quot;#,##0.00&quot; &quot;;&quot;-&quot;#,##0.00&quot; &quot;;&quot; -&quot;00&quot; &quot;;&quot; &quot;@&quot; &quot;"/>
    <numFmt numFmtId="168" formatCode="_-* #,##0.00_-;\-* #,##0.00_-;_-* &quot;-&quot;??_-;_-@_-"/>
  </numFmts>
  <fonts count="95">
    <font>
      <sz val="11"/>
      <color theme="1"/>
      <name val="Calibri"/>
      <family val="2"/>
      <scheme val="minor"/>
    </font>
    <font>
      <sz val="11"/>
      <color theme="1"/>
      <name val="Calibri"/>
      <family val="2"/>
      <scheme val="minor"/>
    </font>
    <font>
      <b/>
      <sz val="9"/>
      <name val="Arial"/>
      <family val="2"/>
    </font>
    <font>
      <sz val="11"/>
      <color theme="1"/>
      <name val="Calibri"/>
      <family val="2"/>
      <charset val="238"/>
      <scheme val="minor"/>
    </font>
    <font>
      <sz val="11"/>
      <color indexed="8"/>
      <name val="Calibri"/>
      <family val="2"/>
    </font>
    <font>
      <sz val="8"/>
      <name val="Arial"/>
      <family val="2"/>
    </font>
    <font>
      <sz val="8"/>
      <name val="Arial"/>
      <family val="2"/>
      <charset val="238"/>
    </font>
    <font>
      <sz val="10"/>
      <name val="Arial"/>
      <family val="2"/>
    </font>
    <font>
      <sz val="10"/>
      <color theme="1"/>
      <name val="Arial"/>
      <family val="2"/>
      <charset val="238"/>
    </font>
    <font>
      <u/>
      <sz val="10"/>
      <color indexed="12"/>
      <name val="Arial"/>
      <family val="2"/>
    </font>
    <font>
      <sz val="8"/>
      <name val="Calibri"/>
      <family val="2"/>
    </font>
    <font>
      <sz val="11"/>
      <color indexed="8"/>
      <name val="Calibri"/>
      <family val="2"/>
      <charset val="238"/>
    </font>
    <font>
      <sz val="10"/>
      <name val="Arial"/>
      <family val="2"/>
      <charset val="238"/>
    </font>
    <font>
      <b/>
      <sz val="15"/>
      <color theme="3"/>
      <name val="Calibri"/>
      <family val="2"/>
      <scheme val="minor"/>
    </font>
    <font>
      <u/>
      <sz val="11"/>
      <color theme="10"/>
      <name val="Calibri"/>
      <family val="2"/>
      <charset val="238"/>
    </font>
    <font>
      <sz val="10"/>
      <color rgb="FF000000"/>
      <name val="Arial"/>
      <family val="2"/>
      <charset val="238"/>
    </font>
    <font>
      <sz val="11"/>
      <color rgb="FF000000"/>
      <name val="Calibri"/>
      <family val="2"/>
      <charset val="238"/>
    </font>
    <font>
      <sz val="11"/>
      <color rgb="FFFFFFFF"/>
      <name val="Calibri"/>
      <family val="2"/>
      <charset val="238"/>
    </font>
    <font>
      <b/>
      <sz val="11"/>
      <color rgb="FFFA7D00"/>
      <name val="Calibri"/>
      <family val="2"/>
      <charset val="238"/>
    </font>
    <font>
      <sz val="11"/>
      <color rgb="FFFA7D00"/>
      <name val="Calibri"/>
      <family val="2"/>
      <charset val="238"/>
    </font>
    <font>
      <b/>
      <sz val="11"/>
      <color rgb="FFFFFFFF"/>
      <name val="Calibri"/>
      <family val="2"/>
      <charset val="238"/>
    </font>
    <font>
      <sz val="11"/>
      <color rgb="FF3F3F76"/>
      <name val="Calibri"/>
      <family val="2"/>
      <charset val="238"/>
    </font>
    <font>
      <sz val="11"/>
      <color rgb="FF9C6500"/>
      <name val="Calibri"/>
      <family val="2"/>
      <charset val="238"/>
    </font>
    <font>
      <sz val="10"/>
      <color rgb="FF000000"/>
      <name val="MS Sans Serif"/>
      <family val="2"/>
    </font>
    <font>
      <b/>
      <sz val="11"/>
      <color rgb="FF3F3F3F"/>
      <name val="Calibri"/>
      <family val="2"/>
      <charset val="238"/>
    </font>
    <font>
      <sz val="11"/>
      <color rgb="FFFF0000"/>
      <name val="Calibri"/>
      <family val="2"/>
      <charset val="238"/>
    </font>
    <font>
      <i/>
      <sz val="11"/>
      <color rgb="FF7F7F7F"/>
      <name val="Calibri"/>
      <family val="2"/>
      <charset val="238"/>
    </font>
    <font>
      <b/>
      <sz val="18"/>
      <color rgb="FF1F497D"/>
      <name val="Cambria"/>
      <family val="1"/>
      <charset val="238"/>
    </font>
    <font>
      <b/>
      <sz val="15"/>
      <color rgb="FF1F497D"/>
      <name val="Calibri"/>
      <family val="2"/>
      <charset val="238"/>
    </font>
    <font>
      <b/>
      <sz val="13"/>
      <color rgb="FF1F497D"/>
      <name val="Calibri"/>
      <family val="2"/>
      <charset val="238"/>
    </font>
    <font>
      <b/>
      <sz val="11"/>
      <color rgb="FF1F497D"/>
      <name val="Calibri"/>
      <family val="2"/>
      <charset val="238"/>
    </font>
    <font>
      <b/>
      <sz val="11"/>
      <color rgb="FF000000"/>
      <name val="Calibri"/>
      <family val="2"/>
      <charset val="238"/>
    </font>
    <font>
      <sz val="11"/>
      <color rgb="FF9C0006"/>
      <name val="Calibri"/>
      <family val="2"/>
      <charset val="238"/>
    </font>
    <font>
      <sz val="11"/>
      <color rgb="FF006100"/>
      <name val="Calibri"/>
      <family val="2"/>
      <charset val="238"/>
    </font>
    <font>
      <sz val="11"/>
      <color rgb="FF000000"/>
      <name val="Calibri"/>
      <family val="2"/>
      <charset val="238"/>
      <scheme val="minor"/>
    </font>
    <font>
      <sz val="11"/>
      <color theme="0"/>
      <name val="Calibri"/>
      <family val="2"/>
      <charset val="238"/>
      <scheme val="minor"/>
    </font>
    <font>
      <sz val="11"/>
      <color rgb="FF006100"/>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9C0006"/>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FF0000"/>
      <name val="Calibri"/>
      <family val="2"/>
      <charset val="238"/>
      <scheme val="minor"/>
    </font>
    <font>
      <b/>
      <sz val="11"/>
      <color theme="1"/>
      <name val="Calibri"/>
      <family val="2"/>
      <charset val="238"/>
      <scheme val="minor"/>
    </font>
    <font>
      <sz val="11"/>
      <color rgb="FF3F3F76"/>
      <name val="Calibri"/>
      <family val="2"/>
      <charset val="238"/>
      <scheme val="minor"/>
    </font>
    <font>
      <sz val="10"/>
      <color indexed="8"/>
      <name val="Arial"/>
      <family val="2"/>
      <charset val="238"/>
    </font>
    <font>
      <sz val="11"/>
      <color rgb="FF000000"/>
      <name val="Calibri"/>
      <family val="2"/>
    </font>
    <font>
      <sz val="11"/>
      <color rgb="FFFFFFFF"/>
      <name val="Calibri"/>
      <family val="2"/>
    </font>
    <font>
      <b/>
      <sz val="11"/>
      <color rgb="FFFA7D00"/>
      <name val="Calibri"/>
      <family val="2"/>
    </font>
    <font>
      <sz val="11"/>
      <color rgb="FFFA7D00"/>
      <name val="Calibri"/>
      <family val="2"/>
    </font>
    <font>
      <b/>
      <sz val="11"/>
      <color rgb="FFFFFFFF"/>
      <name val="Calibri"/>
      <family val="2"/>
    </font>
    <font>
      <sz val="11"/>
      <color rgb="FF3F3F76"/>
      <name val="Calibri"/>
      <family val="2"/>
    </font>
    <font>
      <sz val="11"/>
      <color rgb="FF9C6500"/>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1"/>
      <color rgb="FF00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8"/>
      <color theme="3"/>
      <name val="Cambria"/>
      <family val="2"/>
      <charset val="238"/>
    </font>
    <font>
      <u/>
      <sz val="11"/>
      <color theme="10"/>
      <name val="Calibri"/>
      <family val="2"/>
      <charset val="238"/>
      <scheme val="minor"/>
    </font>
    <font>
      <sz val="10"/>
      <color rgb="FF000000"/>
      <name val="MS Sans Serif"/>
      <charset val="238"/>
    </font>
    <font>
      <sz val="8.25"/>
      <name val="Microsoft Sans Serif"/>
      <family val="2"/>
    </font>
    <font>
      <sz val="8"/>
      <color theme="1"/>
      <name val="Arial"/>
      <family val="2"/>
    </font>
    <font>
      <sz val="9"/>
      <color indexed="81"/>
      <name val="Segoe UI"/>
      <family val="2"/>
    </font>
    <font>
      <b/>
      <sz val="9"/>
      <color indexed="81"/>
      <name val="Segoe UI"/>
      <family val="2"/>
    </font>
    <font>
      <sz val="8"/>
      <color theme="2"/>
      <name val="Arial"/>
      <family val="2"/>
    </font>
    <font>
      <sz val="8"/>
      <color rgb="FFCC00FF"/>
      <name val="Arial"/>
      <family val="2"/>
    </font>
  </fonts>
  <fills count="11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rgb="FFCCCCFF"/>
      </patternFill>
    </fill>
    <fill>
      <patternFill patternType="solid">
        <fgColor rgb="FFDBE5F1"/>
        <bgColor rgb="FFDBE5F1"/>
      </patternFill>
    </fill>
    <fill>
      <patternFill patternType="solid">
        <fgColor rgb="FFFF99CC"/>
        <bgColor rgb="FFFF99CC"/>
      </patternFill>
    </fill>
    <fill>
      <patternFill patternType="solid">
        <fgColor rgb="FFF2DDDC"/>
        <bgColor rgb="FFF2DDDC"/>
      </patternFill>
    </fill>
    <fill>
      <patternFill patternType="solid">
        <fgColor rgb="FFCCFFCC"/>
        <bgColor rgb="FFCCFFCC"/>
      </patternFill>
    </fill>
    <fill>
      <patternFill patternType="solid">
        <fgColor rgb="FFEAF1DD"/>
        <bgColor rgb="FFEAF1DD"/>
      </patternFill>
    </fill>
    <fill>
      <patternFill patternType="solid">
        <fgColor rgb="FFCC99FF"/>
        <bgColor rgb="FFCC99FF"/>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00FF00"/>
        <bgColor rgb="FF00FF00"/>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800080"/>
        <bgColor rgb="FF800080"/>
      </patternFill>
    </fill>
    <fill>
      <patternFill patternType="solid">
        <fgColor rgb="FFB2A1C7"/>
        <bgColor rgb="FFB2A1C7"/>
      </patternFill>
    </fill>
    <fill>
      <patternFill patternType="solid">
        <fgColor rgb="FF93CDDD"/>
        <bgColor rgb="FF93CDDD"/>
      </patternFill>
    </fill>
    <fill>
      <patternFill patternType="solid">
        <fgColor rgb="FFFF9900"/>
        <bgColor rgb="FFFF9900"/>
      </patternFill>
    </fill>
    <fill>
      <patternFill patternType="solid">
        <fgColor rgb="FFFAC090"/>
        <bgColor rgb="FFFAC090"/>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C7CE"/>
        <bgColor rgb="FFFFC7CE"/>
      </patternFill>
    </fill>
    <fill>
      <patternFill patternType="solid">
        <fgColor rgb="FFC6EFCE"/>
        <bgColor rgb="FFC6EFCE"/>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E6B8B7"/>
        <bgColor rgb="FFE6B8B7"/>
      </patternFill>
    </fill>
    <fill>
      <patternFill patternType="solid">
        <fgColor rgb="FFD8E4BC"/>
        <bgColor rgb="FFD8E4BC"/>
      </patternFill>
    </fill>
    <fill>
      <patternFill patternType="solid">
        <fgColor rgb="FFB7DEE8"/>
        <bgColor rgb="FFB7DEE8"/>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8C0DE"/>
      </bottom>
      <diagonal/>
    </border>
    <border>
      <left/>
      <right/>
      <top/>
      <bottom style="medium">
        <color rgb="FF95B3D7"/>
      </bottom>
      <diagonal/>
    </border>
    <border>
      <left/>
      <right/>
      <top style="thin">
        <color rgb="FF4F81BD"/>
      </top>
      <bottom style="double">
        <color rgb="FF4F81BD"/>
      </bottom>
      <diagonal/>
    </border>
    <border>
      <left/>
      <right/>
      <top/>
      <bottom style="thick">
        <color rgb="FFA7BFDE"/>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
      <left style="thin">
        <color theme="0" tint="-0.14999847407452621"/>
      </left>
      <right style="thin">
        <color theme="0" tint="-0.14999847407452621"/>
      </right>
      <top style="thin">
        <color indexed="64"/>
      </top>
      <bottom style="thin">
        <color indexed="64"/>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indexed="64"/>
      </bottom>
      <diagonal/>
    </border>
    <border>
      <left/>
      <right style="thin">
        <color theme="0" tint="-0.14999847407452621"/>
      </right>
      <top style="thin">
        <color indexed="64"/>
      </top>
      <bottom/>
      <diagonal/>
    </border>
    <border>
      <left/>
      <right style="thin">
        <color theme="0" tint="-0.14999847407452621"/>
      </right>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double">
        <color theme="1"/>
      </left>
      <right style="double">
        <color theme="1"/>
      </right>
      <top style="double">
        <color theme="1"/>
      </top>
      <bottom style="double">
        <color theme="1"/>
      </bottom>
      <diagonal/>
    </border>
  </borders>
  <cellStyleXfs count="12291">
    <xf numFmtId="0" fontId="0" fillId="0" borderId="0"/>
    <xf numFmtId="9" fontId="1" fillId="0" borderId="0" applyFont="0" applyFill="0" applyBorder="0" applyAlignment="0" applyProtection="0"/>
    <xf numFmtId="0" fontId="1" fillId="0" borderId="0"/>
    <xf numFmtId="0" fontId="3" fillId="0" borderId="0"/>
    <xf numFmtId="0" fontId="3" fillId="0" borderId="0"/>
    <xf numFmtId="9" fontId="4" fillId="0" borderId="0" applyFont="0" applyFill="0" applyBorder="0" applyAlignment="0" applyProtection="0"/>
    <xf numFmtId="0" fontId="7" fillId="0" borderId="0"/>
    <xf numFmtId="0" fontId="8" fillId="0" borderId="0"/>
    <xf numFmtId="0" fontId="1" fillId="0" borderId="0"/>
    <xf numFmtId="0" fontId="7" fillId="0" borderId="0"/>
    <xf numFmtId="0" fontId="1" fillId="0" borderId="0"/>
    <xf numFmtId="0" fontId="7" fillId="0" borderId="0"/>
    <xf numFmtId="0" fontId="7" fillId="0" borderId="0"/>
    <xf numFmtId="9" fontId="4" fillId="0" borderId="0" applyFont="0" applyFill="0" applyBorder="0" applyAlignment="0" applyProtection="0"/>
    <xf numFmtId="0" fontId="7" fillId="0" borderId="0"/>
    <xf numFmtId="9" fontId="4" fillId="0" borderId="0" applyFont="0" applyFill="0" applyBorder="0" applyAlignment="0" applyProtection="0"/>
    <xf numFmtId="0" fontId="9" fillId="0" borderId="0" applyNumberFormat="0" applyFill="0" applyBorder="0" applyAlignment="0" applyProtection="0">
      <alignment vertical="top"/>
      <protection locked="0"/>
    </xf>
    <xf numFmtId="0" fontId="1" fillId="0" borderId="0"/>
    <xf numFmtId="0" fontId="7" fillId="0" borderId="0"/>
    <xf numFmtId="9" fontId="11" fillId="0" borderId="0" applyFont="0" applyFill="0" applyBorder="0" applyAlignment="0" applyProtection="0"/>
    <xf numFmtId="9" fontId="11" fillId="0" borderId="0" applyFont="0" applyFill="0" applyBorder="0" applyAlignment="0" applyProtection="0"/>
    <xf numFmtId="0" fontId="1" fillId="0" borderId="0"/>
    <xf numFmtId="0" fontId="3" fillId="0" borderId="0"/>
    <xf numFmtId="0" fontId="1" fillId="0" borderId="0"/>
    <xf numFmtId="0" fontId="3" fillId="0" borderId="0"/>
    <xf numFmtId="0" fontId="8" fillId="0" borderId="0"/>
    <xf numFmtId="0" fontId="3" fillId="0" borderId="0"/>
    <xf numFmtId="9" fontId="4" fillId="0" borderId="0" applyFont="0" applyFill="0" applyBorder="0" applyAlignment="0" applyProtection="0"/>
    <xf numFmtId="0" fontId="12" fillId="0" borderId="0"/>
    <xf numFmtId="0" fontId="12" fillId="0" borderId="0"/>
    <xf numFmtId="0" fontId="12" fillId="0" borderId="0"/>
    <xf numFmtId="0" fontId="7" fillId="0" borderId="0"/>
    <xf numFmtId="0" fontId="12" fillId="0" borderId="0"/>
    <xf numFmtId="0" fontId="3" fillId="0" borderId="0"/>
    <xf numFmtId="0" fontId="7" fillId="0" borderId="0"/>
    <xf numFmtId="0" fontId="12" fillId="0" borderId="0"/>
    <xf numFmtId="0" fontId="1" fillId="0" borderId="0"/>
    <xf numFmtId="0" fontId="12" fillId="0" borderId="0"/>
    <xf numFmtId="0" fontId="7" fillId="0" borderId="0"/>
    <xf numFmtId="0" fontId="8" fillId="0" borderId="0"/>
    <xf numFmtId="0" fontId="1" fillId="0" borderId="0"/>
    <xf numFmtId="0" fontId="1" fillId="0" borderId="0"/>
    <xf numFmtId="0" fontId="1" fillId="0" borderId="0"/>
    <xf numFmtId="0" fontId="12" fillId="0" borderId="0"/>
    <xf numFmtId="0" fontId="7" fillId="0" borderId="0"/>
    <xf numFmtId="0" fontId="12" fillId="0" borderId="0"/>
    <xf numFmtId="0" fontId="1" fillId="0" borderId="0"/>
    <xf numFmtId="0" fontId="7" fillId="0" borderId="0"/>
    <xf numFmtId="0" fontId="7" fillId="0" borderId="0"/>
    <xf numFmtId="0" fontId="8" fillId="0" borderId="0"/>
    <xf numFmtId="0" fontId="7" fillId="0" borderId="0"/>
    <xf numFmtId="0" fontId="12" fillId="0" borderId="0"/>
    <xf numFmtId="43" fontId="1" fillId="0" borderId="0" applyFont="0" applyFill="0" applyBorder="0" applyAlignment="0" applyProtection="0"/>
    <xf numFmtId="0" fontId="12" fillId="0" borderId="0"/>
    <xf numFmtId="0" fontId="1" fillId="0" borderId="0"/>
    <xf numFmtId="165" fontId="1" fillId="0" borderId="0" applyFont="0" applyFill="0" applyBorder="0" applyAlignment="0" applyProtection="0"/>
    <xf numFmtId="0" fontId="7" fillId="0" borderId="0"/>
    <xf numFmtId="0" fontId="3" fillId="0" borderId="0"/>
    <xf numFmtId="0" fontId="16" fillId="0" borderId="0"/>
    <xf numFmtId="0" fontId="21" fillId="66" borderId="8" applyNumberFormat="0" applyAlignment="0" applyProtection="0"/>
    <xf numFmtId="0" fontId="24" fillId="58" borderId="9" applyNumberFormat="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4"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3"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6"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5"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8"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7"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0"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39" borderId="0" applyNumberFormat="0" applyFont="0" applyBorder="0" applyAlignment="0" applyProtection="0"/>
    <xf numFmtId="0" fontId="16" fillId="41" borderId="0" applyNumberFormat="0" applyFont="0" applyBorder="0" applyAlignment="0" applyProtection="0"/>
    <xf numFmtId="0" fontId="16" fillId="41" borderId="0" applyNumberFormat="0" applyFont="0" applyBorder="0" applyAlignment="0" applyProtection="0"/>
    <xf numFmtId="0" fontId="16" fillId="42" borderId="0" applyNumberFormat="0" applyFont="0" applyBorder="0" applyAlignment="0" applyProtection="0"/>
    <xf numFmtId="0" fontId="16" fillId="42" borderId="0" applyNumberFormat="0" applyFont="0" applyBorder="0" applyAlignment="0" applyProtection="0"/>
    <xf numFmtId="0" fontId="16" fillId="43" borderId="0" applyNumberFormat="0" applyFont="0" applyBorder="0" applyAlignment="0" applyProtection="0"/>
    <xf numFmtId="0" fontId="16" fillId="43" borderId="0" applyNumberFormat="0" applyFont="0" applyBorder="0" applyAlignment="0" applyProtection="0"/>
    <xf numFmtId="0" fontId="16" fillId="44" borderId="0" applyNumberFormat="0" applyFont="0" applyBorder="0" applyAlignment="0" applyProtection="0"/>
    <xf numFmtId="0" fontId="16" fillId="44"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6"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5" borderId="0" applyNumberFormat="0" applyFont="0" applyBorder="0" applyAlignment="0" applyProtection="0"/>
    <xf numFmtId="0" fontId="16" fillId="47" borderId="0" applyNumberFormat="0" applyFont="0" applyBorder="0" applyAlignment="0" applyProtection="0"/>
    <xf numFmtId="0" fontId="16" fillId="47" borderId="0" applyNumberFormat="0" applyFont="0" applyBorder="0" applyAlignment="0" applyProtection="0"/>
    <xf numFmtId="0" fontId="16" fillId="48" borderId="0" applyNumberFormat="0" applyFont="0" applyBorder="0" applyAlignment="0" applyProtection="0"/>
    <xf numFmtId="0" fontId="16" fillId="48" borderId="0" applyNumberFormat="0" applyFont="0" applyBorder="0" applyAlignment="0" applyProtection="0"/>
    <xf numFmtId="0" fontId="16" fillId="49" borderId="0" applyNumberFormat="0" applyFont="0" applyBorder="0" applyAlignment="0" applyProtection="0"/>
    <xf numFmtId="0" fontId="16" fillId="49" borderId="0" applyNumberFormat="0" applyFon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2"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4"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17" fillId="55"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7"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18" fillId="58" borderId="8" applyNumberFormat="0" applyAlignment="0" applyProtection="0"/>
    <xf numFmtId="0" fontId="19" fillId="0" borderId="10" applyNumberFormat="0" applyFill="0" applyAlignment="0" applyProtection="0"/>
    <xf numFmtId="0" fontId="20" fillId="59" borderId="11" applyNumberFormat="0" applyAlignment="0" applyProtection="0"/>
    <xf numFmtId="0" fontId="17" fillId="60" borderId="0" applyNumberFormat="0" applyBorder="0" applyAlignment="0" applyProtection="0"/>
    <xf numFmtId="0" fontId="17" fillId="61"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7" fillId="64" borderId="0" applyNumberFormat="0" applyBorder="0" applyAlignment="0" applyProtection="0"/>
    <xf numFmtId="0" fontId="17" fillId="65" borderId="0" applyNumberFormat="0" applyBorder="0" applyAlignment="0" applyProtection="0"/>
    <xf numFmtId="167" fontId="16" fillId="0" borderId="0" applyFont="0" applyFill="0" applyBorder="0" applyAlignment="0" applyProtection="0"/>
    <xf numFmtId="167" fontId="16" fillId="0" borderId="0" applyFont="0" applyFill="0" applyBorder="0" applyAlignment="0" applyProtection="0"/>
    <xf numFmtId="0" fontId="22" fillId="67" borderId="0" applyNumberFormat="0" applyBorder="0" applyAlignment="0" applyProtection="0"/>
    <xf numFmtId="0" fontId="16" fillId="0" borderId="0" applyNumberFormat="0" applyFont="0" applyBorder="0" applyProtection="0"/>
    <xf numFmtId="0" fontId="16"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5" fillId="0" borderId="0" applyNumberFormat="0" applyBorder="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16" fillId="68" borderId="12" applyNumberFormat="0" applyFon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4" applyNumberFormat="0" applyFill="0" applyAlignment="0" applyProtection="0"/>
    <xf numFmtId="0" fontId="29" fillId="0" borderId="15" applyNumberFormat="0" applyFill="0" applyAlignment="0" applyProtection="0"/>
    <xf numFmtId="0" fontId="30" fillId="0" borderId="16" applyNumberFormat="0" applyFill="0" applyAlignment="0" applyProtection="0"/>
    <xf numFmtId="0" fontId="30" fillId="0" borderId="0" applyNumberFormat="0" applyFill="0" applyBorder="0" applyAlignment="0" applyProtection="0"/>
    <xf numFmtId="0" fontId="31" fillId="0" borderId="17" applyNumberFormat="0" applyFill="0" applyAlignment="0" applyProtection="0"/>
    <xf numFmtId="0" fontId="32" fillId="69" borderId="0" applyNumberFormat="0" applyBorder="0" applyAlignment="0" applyProtection="0"/>
    <xf numFmtId="0" fontId="33" fillId="70" borderId="0" applyNumberFormat="0" applyBorder="0" applyAlignment="0" applyProtection="0"/>
    <xf numFmtId="0" fontId="34"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 fillId="8" borderId="12" applyNumberFormat="0" applyFont="0" applyAlignment="0" applyProtection="0"/>
    <xf numFmtId="0" fontId="36" fillId="2" borderId="0" applyNumberFormat="0" applyBorder="0" applyAlignment="0" applyProtection="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0" fontId="37" fillId="6" borderId="9" applyNumberFormat="0" applyAlignment="0" applyProtection="0"/>
    <xf numFmtId="0" fontId="38" fillId="6" borderId="8" applyNumberFormat="0" applyAlignment="0" applyProtection="0"/>
    <xf numFmtId="0" fontId="39" fillId="3" borderId="0" applyNumberFormat="0" applyBorder="0" applyAlignment="0" applyProtection="0"/>
    <xf numFmtId="0" fontId="40" fillId="0" borderId="0" applyNumberFormat="0" applyFill="0" applyBorder="0" applyAlignment="0" applyProtection="0"/>
    <xf numFmtId="0" fontId="41" fillId="0" borderId="5" applyNumberFormat="0" applyFill="0" applyAlignment="0" applyProtection="0"/>
    <xf numFmtId="0" fontId="42" fillId="0" borderId="6" applyNumberFormat="0" applyFill="0" applyAlignment="0" applyProtection="0"/>
    <xf numFmtId="0" fontId="43" fillId="0" borderId="7" applyNumberFormat="0" applyFill="0" applyAlignment="0" applyProtection="0"/>
    <xf numFmtId="0" fontId="43" fillId="0" borderId="0" applyNumberFormat="0" applyFill="0" applyBorder="0" applyAlignment="0" applyProtection="0"/>
    <xf numFmtId="0" fontId="44" fillId="4" borderId="0" applyNumberFormat="0" applyBorder="0" applyAlignment="0" applyProtection="0"/>
    <xf numFmtId="0" fontId="3" fillId="0" borderId="0"/>
    <xf numFmtId="0" fontId="45" fillId="0" borderId="10" applyNumberFormat="0" applyFill="0" applyAlignment="0" applyProtection="0"/>
    <xf numFmtId="0" fontId="46" fillId="7" borderId="1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13" applyNumberFormat="0" applyFill="0" applyAlignment="0" applyProtection="0"/>
    <xf numFmtId="0" fontId="50" fillId="5" borderId="8" applyNumberFormat="0" applyAlignment="0" applyProtection="0"/>
    <xf numFmtId="0" fontId="3" fillId="0" borderId="0"/>
    <xf numFmtId="166" fontId="11" fillId="0" borderId="0" applyFont="0" applyFill="0" applyBorder="0" applyAlignment="0" applyProtection="0"/>
    <xf numFmtId="165" fontId="1" fillId="0" borderId="0" applyFont="0" applyFill="0" applyBorder="0" applyAlignment="0" applyProtection="0"/>
    <xf numFmtId="0" fontId="14" fillId="0" borderId="0" applyNumberFormat="0" applyFill="0" applyBorder="0" applyAlignment="0" applyProtection="0">
      <alignment vertical="top"/>
      <protection locked="0"/>
    </xf>
    <xf numFmtId="0" fontId="12" fillId="0" borderId="0"/>
    <xf numFmtId="0" fontId="34" fillId="0" borderId="0"/>
    <xf numFmtId="0" fontId="3" fillId="0" borderId="0"/>
    <xf numFmtId="0" fontId="7" fillId="0" borderId="0"/>
    <xf numFmtId="9" fontId="11" fillId="0" borderId="0" applyFont="0" applyFill="0" applyBorder="0" applyAlignment="0" applyProtection="0"/>
    <xf numFmtId="9" fontId="1" fillId="0" borderId="0" applyFont="0" applyFill="0" applyBorder="0" applyAlignment="0" applyProtection="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52" fillId="0" borderId="0"/>
    <xf numFmtId="0" fontId="57" fillId="66" borderId="8" applyNumberFormat="0" applyAlignment="0" applyProtection="0"/>
    <xf numFmtId="0" fontId="59" fillId="58" borderId="9" applyNumberFormat="0" applyAlignment="0" applyProtection="0"/>
    <xf numFmtId="0" fontId="52" fillId="71" borderId="0" applyNumberFormat="0" applyFont="0" applyBorder="0" applyAlignment="0" applyProtection="0"/>
    <xf numFmtId="0" fontId="52" fillId="72" borderId="0" applyNumberFormat="0" applyFont="0" applyBorder="0" applyAlignment="0" applyProtection="0"/>
    <xf numFmtId="0" fontId="52" fillId="73" borderId="0" applyNumberFormat="0" applyFont="0" applyBorder="0" applyAlignment="0" applyProtection="0"/>
    <xf numFmtId="0" fontId="52" fillId="74" borderId="0" applyNumberFormat="0" applyFont="0" applyBorder="0" applyAlignment="0" applyProtection="0"/>
    <xf numFmtId="0" fontId="52" fillId="75" borderId="0" applyNumberFormat="0" applyFont="0" applyBorder="0" applyAlignment="0" applyProtection="0"/>
    <xf numFmtId="0" fontId="52" fillId="42" borderId="0" applyNumberFormat="0" applyFont="0" applyBorder="0" applyAlignment="0" applyProtection="0"/>
    <xf numFmtId="0" fontId="52" fillId="43" borderId="0" applyNumberFormat="0" applyFont="0" applyBorder="0" applyAlignment="0" applyProtection="0"/>
    <xf numFmtId="0" fontId="52" fillId="76" borderId="0" applyNumberFormat="0" applyFont="0" applyBorder="0" applyAlignment="0" applyProtection="0"/>
    <xf numFmtId="0" fontId="52" fillId="77" borderId="0" applyNumberFormat="0" applyFont="0" applyBorder="0" applyAlignment="0" applyProtection="0"/>
    <xf numFmtId="0" fontId="52" fillId="47" borderId="0" applyNumberFormat="0" applyFont="0" applyBorder="0" applyAlignment="0" applyProtection="0"/>
    <xf numFmtId="0" fontId="52" fillId="78" borderId="0" applyNumberFormat="0" applyFont="0" applyBorder="0" applyAlignment="0" applyProtection="0"/>
    <xf numFmtId="0" fontId="52" fillId="49" borderId="0" applyNumberFormat="0" applyFont="0" applyBorder="0" applyAlignment="0" applyProtection="0"/>
    <xf numFmtId="0" fontId="53" fillId="50" borderId="0" applyNumberFormat="0" applyBorder="0" applyAlignment="0" applyProtection="0"/>
    <xf numFmtId="0" fontId="53" fillId="79" borderId="0" applyNumberFormat="0" applyBorder="0" applyAlignment="0" applyProtection="0"/>
    <xf numFmtId="0" fontId="53" fillId="80" borderId="0" applyNumberFormat="0" applyBorder="0" applyAlignment="0" applyProtection="0"/>
    <xf numFmtId="0" fontId="53" fillId="81" borderId="0" applyNumberFormat="0" applyBorder="0" applyAlignment="0" applyProtection="0"/>
    <xf numFmtId="0" fontId="53" fillId="82" borderId="0" applyNumberFormat="0" applyBorder="0" applyAlignment="0" applyProtection="0"/>
    <xf numFmtId="0" fontId="53" fillId="83" borderId="0" applyNumberFormat="0" applyBorder="0" applyAlignment="0" applyProtection="0"/>
    <xf numFmtId="0" fontId="54" fillId="58" borderId="8" applyNumberFormat="0" applyAlignment="0" applyProtection="0"/>
    <xf numFmtId="0" fontId="55" fillId="0" borderId="10" applyNumberFormat="0" applyFill="0" applyAlignment="0" applyProtection="0"/>
    <xf numFmtId="0" fontId="56" fillId="59" borderId="11" applyNumberFormat="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63" borderId="0" applyNumberFormat="0" applyBorder="0" applyAlignment="0" applyProtection="0"/>
    <xf numFmtId="0" fontId="53" fillId="64" borderId="0" applyNumberFormat="0" applyBorder="0" applyAlignment="0" applyProtection="0"/>
    <xf numFmtId="0" fontId="53" fillId="65" borderId="0" applyNumberFormat="0" applyBorder="0" applyAlignment="0" applyProtection="0"/>
    <xf numFmtId="0" fontId="58" fillId="67" borderId="0" applyNumberFormat="0" applyBorder="0" applyAlignment="0" applyProtection="0"/>
    <xf numFmtId="0" fontId="52" fillId="0" borderId="0" applyNumberFormat="0" applyFont="0" applyBorder="0" applyProtection="0"/>
    <xf numFmtId="0" fontId="52" fillId="0" borderId="0" applyNumberFormat="0" applyFont="0" applyBorder="0" applyProtection="0"/>
    <xf numFmtId="0" fontId="52" fillId="68" borderId="12"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14" applyNumberFormat="0" applyFill="0" applyAlignment="0" applyProtection="0"/>
    <xf numFmtId="0" fontId="64" fillId="0" borderId="18" applyNumberFormat="0" applyFill="0" applyAlignment="0" applyProtection="0"/>
    <xf numFmtId="0" fontId="65" fillId="0" borderId="16" applyNumberFormat="0" applyFill="0" applyAlignment="0" applyProtection="0"/>
    <xf numFmtId="0" fontId="65" fillId="0" borderId="0" applyNumberFormat="0" applyFill="0" applyBorder="0" applyAlignment="0" applyProtection="0"/>
    <xf numFmtId="0" fontId="66" fillId="0" borderId="17" applyNumberFormat="0" applyFill="0" applyAlignment="0" applyProtection="0"/>
    <xf numFmtId="0" fontId="67" fillId="69" borderId="0" applyNumberFormat="0" applyBorder="0" applyAlignment="0" applyProtection="0"/>
    <xf numFmtId="0" fontId="68" fillId="70" borderId="0" applyNumberFormat="0" applyBorder="0" applyAlignment="0" applyProtection="0"/>
    <xf numFmtId="0" fontId="8" fillId="0" borderId="0"/>
    <xf numFmtId="0" fontId="51" fillId="0" borderId="0"/>
    <xf numFmtId="0" fontId="3" fillId="0" borderId="0"/>
    <xf numFmtId="0" fontId="3" fillId="0" borderId="0"/>
    <xf numFmtId="0" fontId="3" fillId="0" borderId="0"/>
    <xf numFmtId="0" fontId="12" fillId="0" borderId="0"/>
    <xf numFmtId="9" fontId="4" fillId="0" borderId="0" applyFont="0" applyFill="0" applyBorder="0" applyAlignment="0" applyProtection="0"/>
    <xf numFmtId="0" fontId="12" fillId="0" borderId="0"/>
    <xf numFmtId="9" fontId="1" fillId="0" borderId="0" applyFont="0" applyFill="0" applyBorder="0" applyAlignment="0" applyProtection="0"/>
    <xf numFmtId="9" fontId="1" fillId="0" borderId="0" applyFont="0" applyFill="0" applyBorder="0" applyAlignment="0" applyProtection="0"/>
    <xf numFmtId="0" fontId="69" fillId="0" borderId="0"/>
    <xf numFmtId="0" fontId="1" fillId="0" borderId="0"/>
    <xf numFmtId="0" fontId="3" fillId="0" borderId="0"/>
    <xf numFmtId="0" fontId="3" fillId="0" borderId="0"/>
    <xf numFmtId="0" fontId="3" fillId="0" borderId="0"/>
    <xf numFmtId="0" fontId="12" fillId="0" borderId="0"/>
    <xf numFmtId="0" fontId="7"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69"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4"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8"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4" fillId="89"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92"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87"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0"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4" fillId="93"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4"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1"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2"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70" fillId="97" borderId="0" applyNumberFormat="0" applyBorder="0" applyAlignment="0" applyProtection="0"/>
    <xf numFmtId="0" fontId="17" fillId="50" borderId="0" applyNumberFormat="0" applyBorder="0" applyAlignment="0" applyProtection="0"/>
    <xf numFmtId="0" fontId="53" fillId="50" borderId="0" applyNumberFormat="0" applyBorder="0" applyAlignment="0" applyProtection="0"/>
    <xf numFmtId="0" fontId="17" fillId="51" borderId="0" applyNumberFormat="0" applyBorder="0" applyAlignment="0" applyProtection="0"/>
    <xf numFmtId="0" fontId="53" fillId="51" borderId="0" applyNumberFormat="0" applyBorder="0" applyAlignment="0" applyProtection="0"/>
    <xf numFmtId="0" fontId="17" fillId="45" borderId="0" applyNumberFormat="0" applyBorder="0" applyAlignment="0" applyProtection="0"/>
    <xf numFmtId="0" fontId="53" fillId="52" borderId="0" applyNumberFormat="0" applyBorder="0" applyAlignment="0" applyProtection="0"/>
    <xf numFmtId="0" fontId="17" fillId="53" borderId="0" applyNumberFormat="0" applyBorder="0" applyAlignment="0" applyProtection="0"/>
    <xf numFmtId="0" fontId="53" fillId="54" borderId="0" applyNumberFormat="0" applyBorder="0" applyAlignment="0" applyProtection="0"/>
    <xf numFmtId="0" fontId="17" fillId="55" borderId="0" applyNumberFormat="0" applyBorder="0" applyAlignment="0" applyProtection="0"/>
    <xf numFmtId="0" fontId="53" fillId="55" borderId="0" applyNumberFormat="0" applyBorder="0" applyAlignment="0" applyProtection="0"/>
    <xf numFmtId="0" fontId="17" fillId="56" borderId="0" applyNumberFormat="0" applyBorder="0" applyAlignment="0" applyProtection="0"/>
    <xf numFmtId="0" fontId="53" fillId="57"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8"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99"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100"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5"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96"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0" fillId="101"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71" fillId="85" borderId="0" applyNumberFormat="0" applyBorder="0" applyAlignment="0" applyProtection="0"/>
    <xf numFmtId="0" fontId="18" fillId="58" borderId="8" applyNumberFormat="0" applyAlignment="0" applyProtection="0"/>
    <xf numFmtId="0" fontId="54" fillId="58" borderId="8"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72" fillId="102" borderId="19" applyNumberFormat="0" applyAlignment="0" applyProtection="0"/>
    <xf numFmtId="0" fontId="19" fillId="0" borderId="10" applyNumberFormat="0" applyFill="0" applyAlignment="0" applyProtection="0"/>
    <xf numFmtId="0" fontId="55" fillId="0" borderId="10" applyNumberFormat="0" applyFill="0" applyAlignment="0" applyProtection="0"/>
    <xf numFmtId="0" fontId="20" fillId="59" borderId="11" applyNumberFormat="0" applyAlignment="0" applyProtection="0"/>
    <xf numFmtId="0" fontId="56" fillId="59" borderId="1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73" fillId="103" borderId="21" applyNumberFormat="0" applyAlignment="0" applyProtection="0"/>
    <xf numFmtId="0" fontId="17" fillId="60" borderId="0" applyNumberFormat="0" applyBorder="0" applyAlignment="0" applyProtection="0"/>
    <xf numFmtId="0" fontId="53" fillId="60" borderId="0" applyNumberFormat="0" applyBorder="0" applyAlignment="0" applyProtection="0"/>
    <xf numFmtId="0" fontId="17" fillId="61" borderId="0" applyNumberFormat="0" applyBorder="0" applyAlignment="0" applyProtection="0"/>
    <xf numFmtId="0" fontId="53" fillId="61" borderId="0" applyNumberFormat="0" applyBorder="0" applyAlignment="0" applyProtection="0"/>
    <xf numFmtId="0" fontId="17" fillId="62" borderId="0" applyNumberFormat="0" applyBorder="0" applyAlignment="0" applyProtection="0"/>
    <xf numFmtId="0" fontId="53" fillId="62" borderId="0" applyNumberFormat="0" applyBorder="0" applyAlignment="0" applyProtection="0"/>
    <xf numFmtId="0" fontId="17" fillId="63" borderId="0" applyNumberFormat="0" applyBorder="0" applyAlignment="0" applyProtection="0"/>
    <xf numFmtId="0" fontId="53" fillId="63" borderId="0" applyNumberFormat="0" applyBorder="0" applyAlignment="0" applyProtection="0"/>
    <xf numFmtId="0" fontId="17" fillId="64" borderId="0" applyNumberFormat="0" applyBorder="0" applyAlignment="0" applyProtection="0"/>
    <xf numFmtId="0" fontId="53" fillId="64" borderId="0" applyNumberFormat="0" applyBorder="0" applyAlignment="0" applyProtection="0"/>
    <xf numFmtId="0" fontId="17" fillId="65" borderId="0" applyNumberFormat="0" applyBorder="0" applyAlignment="0" applyProtection="0"/>
    <xf numFmtId="0" fontId="53" fillId="65" borderId="0" applyNumberFormat="0" applyBorder="0" applyAlignment="0" applyProtection="0"/>
    <xf numFmtId="43" fontId="11" fillId="0" borderId="0" applyFont="0" applyFill="0" applyBorder="0" applyAlignment="0" applyProtection="0"/>
    <xf numFmtId="166"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6"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5" fillId="86" borderId="0" applyNumberFormat="0" applyBorder="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13" fillId="0" borderId="5"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41" fillId="0" borderId="5"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6" fillId="0" borderId="22"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21" fillId="66" borderId="8" applyNumberFormat="0" applyAlignment="0" applyProtection="0"/>
    <xf numFmtId="0" fontId="57" fillId="66" borderId="8"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79" fillId="89" borderId="19" applyNumberFormat="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0" fontId="80" fillId="0" borderId="20" applyNumberFormat="0" applyFill="0" applyAlignment="0" applyProtection="0"/>
    <xf numFmtId="167" fontId="11" fillId="0" borderId="0" applyFont="0" applyFill="0" applyBorder="0" applyAlignment="0" applyProtection="0"/>
    <xf numFmtId="167" fontId="11" fillId="0" borderId="0" applyFont="0" applyFill="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81" fillId="104" borderId="0" applyNumberFormat="0" applyBorder="0" applyAlignment="0" applyProtection="0"/>
    <xf numFmtId="0" fontId="22" fillId="67" borderId="0" applyNumberFormat="0" applyBorder="0" applyAlignment="0" applyProtection="0"/>
    <xf numFmtId="0" fontId="58" fillId="67" borderId="0" applyNumberFormat="0" applyBorder="0" applyAlignment="0" applyProtection="0"/>
    <xf numFmtId="0" fontId="12" fillId="0" borderId="0"/>
    <xf numFmtId="0" fontId="7" fillId="0" borderId="0"/>
    <xf numFmtId="0" fontId="1" fillId="0" borderId="0"/>
    <xf numFmtId="0" fontId="3" fillId="0" borderId="0"/>
    <xf numFmtId="0" fontId="12" fillId="0" borderId="0"/>
    <xf numFmtId="0" fontId="7" fillId="0" borderId="0"/>
    <xf numFmtId="0" fontId="1" fillId="0" borderId="0"/>
    <xf numFmtId="0" fontId="3" fillId="0" borderId="0"/>
    <xf numFmtId="0" fontId="12" fillId="0" borderId="0"/>
    <xf numFmtId="0" fontId="3" fillId="0" borderId="0"/>
    <xf numFmtId="0" fontId="3" fillId="0" borderId="0"/>
    <xf numFmtId="0" fontId="1" fillId="0" borderId="0"/>
    <xf numFmtId="0" fontId="12" fillId="0" borderId="0"/>
    <xf numFmtId="0" fontId="7" fillId="0" borderId="0"/>
    <xf numFmtId="0" fontId="1" fillId="0" borderId="0"/>
    <xf numFmtId="0" fontId="8" fillId="0" borderId="0"/>
    <xf numFmtId="0" fontId="1" fillId="0" borderId="0"/>
    <xf numFmtId="0" fontId="8" fillId="0" borderId="0"/>
    <xf numFmtId="0" fontId="12" fillId="0" borderId="0"/>
    <xf numFmtId="0" fontId="7" fillId="0" borderId="0"/>
    <xf numFmtId="0" fontId="12" fillId="0" borderId="0"/>
    <xf numFmtId="0" fontId="8" fillId="0" borderId="0"/>
    <xf numFmtId="0" fontId="12" fillId="0" borderId="0"/>
    <xf numFmtId="0" fontId="7" fillId="0" borderId="0"/>
    <xf numFmtId="0" fontId="7" fillId="0" borderId="0"/>
    <xf numFmtId="0" fontId="3" fillId="0" borderId="0"/>
    <xf numFmtId="0" fontId="7" fillId="0" borderId="0"/>
    <xf numFmtId="0" fontId="1" fillId="0" borderId="0"/>
    <xf numFmtId="0" fontId="7" fillId="0" borderId="0"/>
    <xf numFmtId="0" fontId="1" fillId="0" borderId="0"/>
    <xf numFmtId="0" fontId="7" fillId="0" borderId="0"/>
    <xf numFmtId="0" fontId="7" fillId="0" borderId="0"/>
    <xf numFmtId="0" fontId="11" fillId="0" borderId="0"/>
    <xf numFmtId="0" fontId="12" fillId="0" borderId="0"/>
    <xf numFmtId="0" fontId="11" fillId="0" borderId="0"/>
    <xf numFmtId="0" fontId="3" fillId="0" borderId="0"/>
    <xf numFmtId="0" fontId="11" fillId="0" borderId="0"/>
    <xf numFmtId="0" fontId="51" fillId="0" borderId="0"/>
    <xf numFmtId="0" fontId="3" fillId="0" borderId="0"/>
    <xf numFmtId="0" fontId="3" fillId="0" borderId="0"/>
    <xf numFmtId="0" fontId="11" fillId="0" borderId="0"/>
    <xf numFmtId="0" fontId="51" fillId="0" borderId="0"/>
    <xf numFmtId="0" fontId="1" fillId="0" borderId="0"/>
    <xf numFmtId="0" fontId="3" fillId="0" borderId="0"/>
    <xf numFmtId="0" fontId="3" fillId="0" borderId="0"/>
    <xf numFmtId="0" fontId="3" fillId="0" borderId="0"/>
    <xf numFmtId="0" fontId="7" fillId="0" borderId="0"/>
    <xf numFmtId="0" fontId="3" fillId="0" borderId="0"/>
    <xf numFmtId="0" fontId="1" fillId="0" borderId="0"/>
    <xf numFmtId="0" fontId="3" fillId="0" borderId="0"/>
    <xf numFmtId="0" fontId="1" fillId="0" borderId="0"/>
    <xf numFmtId="0" fontId="3" fillId="0" borderId="0"/>
    <xf numFmtId="0" fontId="3" fillId="0" borderId="0"/>
    <xf numFmtId="0" fontId="8" fillId="0" borderId="0"/>
    <xf numFmtId="0" fontId="7" fillId="0" borderId="0"/>
    <xf numFmtId="0" fontId="8" fillId="0" borderId="0"/>
    <xf numFmtId="0" fontId="7" fillId="0" borderId="0"/>
    <xf numFmtId="0" fontId="12" fillId="0" borderId="0"/>
    <xf numFmtId="0" fontId="34" fillId="0" borderId="0"/>
    <xf numFmtId="0" fontId="12" fillId="0" borderId="0"/>
    <xf numFmtId="0" fontId="1" fillId="0" borderId="0"/>
    <xf numFmtId="0" fontId="16" fillId="0" borderId="0"/>
    <xf numFmtId="0" fontId="16" fillId="0" borderId="0"/>
    <xf numFmtId="0" fontId="7" fillId="0" borderId="0"/>
    <xf numFmtId="0" fontId="7" fillId="0" borderId="0"/>
    <xf numFmtId="0" fontId="12" fillId="0" borderId="0"/>
    <xf numFmtId="0" fontId="1" fillId="0" borderId="0"/>
    <xf numFmtId="0" fontId="7" fillId="0" borderId="0"/>
    <xf numFmtId="0" fontId="7" fillId="0" borderId="0"/>
    <xf numFmtId="0" fontId="34" fillId="0" borderId="0"/>
    <xf numFmtId="0" fontId="1" fillId="0" borderId="0"/>
    <xf numFmtId="0" fontId="7" fillId="0" borderId="0"/>
    <xf numFmtId="0" fontId="3" fillId="0" borderId="0"/>
    <xf numFmtId="0" fontId="34" fillId="0" borderId="0"/>
    <xf numFmtId="0" fontId="34" fillId="0" borderId="0"/>
    <xf numFmtId="0" fontId="7" fillId="0" borderId="0"/>
    <xf numFmtId="0" fontId="3" fillId="0" borderId="0"/>
    <xf numFmtId="0" fontId="1" fillId="0" borderId="0"/>
    <xf numFmtId="0" fontId="3" fillId="0" borderId="0"/>
    <xf numFmtId="0" fontId="3" fillId="0" borderId="0"/>
    <xf numFmtId="0" fontId="12" fillId="0" borderId="0"/>
    <xf numFmtId="0" fontId="52" fillId="0" borderId="0"/>
    <xf numFmtId="0" fontId="7" fillId="0" borderId="0"/>
    <xf numFmtId="0" fontId="69" fillId="0" borderId="0"/>
    <xf numFmtId="0" fontId="12" fillId="0" borderId="0"/>
    <xf numFmtId="0" fontId="3" fillId="0" borderId="0"/>
    <xf numFmtId="0" fontId="12" fillId="0" borderId="0"/>
    <xf numFmtId="0" fontId="7" fillId="0" borderId="0"/>
    <xf numFmtId="0" fontId="3" fillId="0" borderId="0"/>
    <xf numFmtId="0" fontId="12" fillId="0" borderId="0"/>
    <xf numFmtId="0" fontId="7" fillId="0" borderId="0"/>
    <xf numFmtId="0" fontId="12" fillId="0" borderId="0"/>
    <xf numFmtId="0" fontId="1" fillId="0" borderId="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23" fillId="0" borderId="0" applyNumberFormat="0" applyBorder="0" applyProtection="0"/>
    <xf numFmtId="0" fontId="23"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7" fillId="105" borderId="25" applyNumberFormat="0" applyFon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24" fillId="58" borderId="9" applyNumberFormat="0" applyAlignment="0" applyProtection="0"/>
    <xf numFmtId="0" fontId="59" fillId="58" borderId="9"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0" fontId="82" fillId="102" borderId="26"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0" fontId="25" fillId="0" borderId="0" applyNumberFormat="0" applyFill="0" applyBorder="0" applyAlignment="0" applyProtection="0"/>
    <xf numFmtId="0" fontId="60" fillId="0" borderId="0" applyNumberFormat="0" applyFill="0" applyBorder="0" applyAlignment="0" applyProtection="0"/>
    <xf numFmtId="0" fontId="26" fillId="0" borderId="0" applyNumberFormat="0" applyFill="0" applyBorder="0" applyAlignment="0" applyProtection="0"/>
    <xf numFmtId="0" fontId="61" fillId="0" borderId="0" applyNumberFormat="0" applyFill="0" applyBorder="0" applyAlignment="0" applyProtection="0"/>
    <xf numFmtId="0" fontId="86"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28" fillId="0" borderId="14" applyNumberFormat="0" applyFill="0" applyAlignment="0" applyProtection="0"/>
    <xf numFmtId="0" fontId="63" fillId="0" borderId="14" applyNumberFormat="0" applyFill="0" applyAlignment="0" applyProtection="0"/>
    <xf numFmtId="0" fontId="29" fillId="0" borderId="15" applyNumberFormat="0" applyFill="0" applyAlignment="0" applyProtection="0"/>
    <xf numFmtId="0" fontId="64" fillId="0" borderId="15" applyNumberFormat="0" applyFill="0" applyAlignment="0" applyProtection="0"/>
    <xf numFmtId="0" fontId="30" fillId="0" borderId="16" applyNumberFormat="0" applyFill="0" applyAlignment="0" applyProtection="0"/>
    <xf numFmtId="0" fontId="65" fillId="0" borderId="16" applyNumberFormat="0" applyFill="0" applyAlignment="0" applyProtection="0"/>
    <xf numFmtId="0" fontId="30" fillId="0" borderId="0" applyNumberFormat="0" applyFill="0" applyBorder="0" applyAlignment="0" applyProtection="0"/>
    <xf numFmtId="0" fontId="65" fillId="0" borderId="0" applyNumberFormat="0" applyFill="0" applyBorder="0" applyAlignment="0" applyProtection="0"/>
    <xf numFmtId="0" fontId="27" fillId="0" borderId="0" applyNumberFormat="0" applyFill="0" applyBorder="0" applyAlignment="0" applyProtection="0"/>
    <xf numFmtId="0" fontId="62" fillId="0" borderId="0" applyNumberFormat="0" applyFill="0" applyBorder="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84" fillId="0" borderId="27" applyNumberFormat="0" applyFill="0" applyAlignment="0" applyProtection="0"/>
    <xf numFmtId="0" fontId="31" fillId="0" borderId="17" applyNumberFormat="0" applyFill="0" applyAlignment="0" applyProtection="0"/>
    <xf numFmtId="0" fontId="66" fillId="0" borderId="17" applyNumberFormat="0" applyFill="0" applyAlignment="0" applyProtection="0"/>
    <xf numFmtId="0" fontId="32" fillId="69" borderId="0" applyNumberFormat="0" applyBorder="0" applyAlignment="0" applyProtection="0"/>
    <xf numFmtId="0" fontId="67" fillId="69" borderId="0" applyNumberFormat="0" applyBorder="0" applyAlignment="0" applyProtection="0"/>
    <xf numFmtId="0" fontId="33" fillId="70" borderId="0" applyNumberFormat="0" applyBorder="0" applyAlignment="0" applyProtection="0"/>
    <xf numFmtId="0" fontId="68" fillId="70" borderId="0" applyNumberFormat="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7" fillId="0" borderId="0" applyNumberFormat="0" applyFill="0" applyBorder="0" applyAlignment="0" applyProtection="0"/>
    <xf numFmtId="0" fontId="1" fillId="0" borderId="0"/>
    <xf numFmtId="0" fontId="3" fillId="0" borderId="0"/>
    <xf numFmtId="0" fontId="7" fillId="0" borderId="0"/>
    <xf numFmtId="0" fontId="7" fillId="0" borderId="0"/>
    <xf numFmtId="0" fontId="1" fillId="0" borderId="0"/>
    <xf numFmtId="0" fontId="12" fillId="0" borderId="0"/>
    <xf numFmtId="0" fontId="8" fillId="0" borderId="0"/>
    <xf numFmtId="0" fontId="3" fillId="0" borderId="0"/>
    <xf numFmtId="0" fontId="7" fillId="0" borderId="0"/>
    <xf numFmtId="0" fontId="1" fillId="0" borderId="0"/>
    <xf numFmtId="0" fontId="7" fillId="0" borderId="0"/>
    <xf numFmtId="0" fontId="69" fillId="0" borderId="0"/>
    <xf numFmtId="0" fontId="12" fillId="0" borderId="0"/>
    <xf numFmtId="0" fontId="3" fillId="0" borderId="0"/>
    <xf numFmtId="0" fontId="7" fillId="0" borderId="0"/>
    <xf numFmtId="0" fontId="8" fillId="0" borderId="0"/>
    <xf numFmtId="0" fontId="7" fillId="0" borderId="0"/>
    <xf numFmtId="9" fontId="1" fillId="0" borderId="0" applyFont="0" applyFill="0" applyBorder="0" applyAlignment="0" applyProtection="0"/>
    <xf numFmtId="0" fontId="7"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4" fillId="34"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4" fillId="36"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4" fillId="38"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4" fillId="40"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1" borderId="0" applyNumberFormat="0" applyFont="0" applyBorder="0" applyAlignment="0" applyProtection="0"/>
    <xf numFmtId="0" fontId="4" fillId="41"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4" borderId="0" applyNumberFormat="0" applyFont="0" applyBorder="0" applyAlignment="0" applyProtection="0"/>
    <xf numFmtId="0" fontId="4"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4" fillId="46"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8" borderId="0" applyNumberFormat="0" applyFont="0" applyBorder="0" applyAlignment="0" applyProtection="0"/>
    <xf numFmtId="0" fontId="4" fillId="48"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53" fillId="50" borderId="0" applyNumberFormat="0" applyBorder="0" applyAlignment="0" applyProtection="0"/>
    <xf numFmtId="0" fontId="17" fillId="50" borderId="0" applyNumberFormat="0" applyBorder="0" applyAlignment="0" applyProtection="0"/>
    <xf numFmtId="0" fontId="53" fillId="79" borderId="0" applyNumberFormat="0" applyBorder="0" applyAlignment="0" applyProtection="0"/>
    <xf numFmtId="0" fontId="17" fillId="51" borderId="0" applyNumberFormat="0" applyBorder="0" applyAlignment="0" applyProtection="0"/>
    <xf numFmtId="0" fontId="53" fillId="80" borderId="0" applyNumberFormat="0" applyBorder="0" applyAlignment="0" applyProtection="0"/>
    <xf numFmtId="0" fontId="17" fillId="45" borderId="0" applyNumberFormat="0" applyBorder="0" applyAlignment="0" applyProtection="0"/>
    <xf numFmtId="0" fontId="53" fillId="81" borderId="0" applyNumberFormat="0" applyBorder="0" applyAlignment="0" applyProtection="0"/>
    <xf numFmtId="0" fontId="17" fillId="53" borderId="0" applyNumberFormat="0" applyBorder="0" applyAlignment="0" applyProtection="0"/>
    <xf numFmtId="0" fontId="53" fillId="82" borderId="0" applyNumberFormat="0" applyBorder="0" applyAlignment="0" applyProtection="0"/>
    <xf numFmtId="0" fontId="17" fillId="55" borderId="0" applyNumberFormat="0" applyBorder="0" applyAlignment="0" applyProtection="0"/>
    <xf numFmtId="0" fontId="53" fillId="83" borderId="0" applyNumberFormat="0" applyBorder="0" applyAlignment="0" applyProtection="0"/>
    <xf numFmtId="0" fontId="17" fillId="56" borderId="0" applyNumberFormat="0" applyBorder="0" applyAlignment="0" applyProtection="0"/>
    <xf numFmtId="0" fontId="54" fillId="58" borderId="8" applyNumberFormat="0" applyAlignment="0" applyProtection="0"/>
    <xf numFmtId="0" fontId="18" fillId="58" borderId="8" applyNumberFormat="0" applyAlignment="0" applyProtection="0"/>
    <xf numFmtId="0" fontId="55" fillId="0" borderId="10" applyNumberFormat="0" applyFill="0" applyAlignment="0" applyProtection="0"/>
    <xf numFmtId="0" fontId="19" fillId="0" borderId="10" applyNumberFormat="0" applyFill="0" applyAlignment="0" applyProtection="0"/>
    <xf numFmtId="0" fontId="56" fillId="59" borderId="11" applyNumberFormat="0" applyAlignment="0" applyProtection="0"/>
    <xf numFmtId="0" fontId="20" fillId="59" borderId="11" applyNumberFormat="0" applyAlignment="0" applyProtection="0"/>
    <xf numFmtId="0" fontId="53" fillId="60" borderId="0" applyNumberFormat="0" applyBorder="0" applyAlignment="0" applyProtection="0"/>
    <xf numFmtId="0" fontId="17" fillId="60" borderId="0" applyNumberFormat="0" applyBorder="0" applyAlignment="0" applyProtection="0"/>
    <xf numFmtId="0" fontId="53" fillId="61" borderId="0" applyNumberFormat="0" applyBorder="0" applyAlignment="0" applyProtection="0"/>
    <xf numFmtId="0" fontId="17" fillId="61" borderId="0" applyNumberFormat="0" applyBorder="0" applyAlignment="0" applyProtection="0"/>
    <xf numFmtId="0" fontId="53" fillId="62" borderId="0" applyNumberFormat="0" applyBorder="0" applyAlignment="0" applyProtection="0"/>
    <xf numFmtId="0" fontId="17" fillId="62" borderId="0" applyNumberFormat="0" applyBorder="0" applyAlignment="0" applyProtection="0"/>
    <xf numFmtId="0" fontId="53" fillId="63" borderId="0" applyNumberFormat="0" applyBorder="0" applyAlignment="0" applyProtection="0"/>
    <xf numFmtId="0" fontId="17" fillId="63" borderId="0" applyNumberFormat="0" applyBorder="0" applyAlignment="0" applyProtection="0"/>
    <xf numFmtId="0" fontId="53" fillId="64" borderId="0" applyNumberFormat="0" applyBorder="0" applyAlignment="0" applyProtection="0"/>
    <xf numFmtId="0" fontId="17" fillId="64" borderId="0" applyNumberFormat="0" applyBorder="0" applyAlignment="0" applyProtection="0"/>
    <xf numFmtId="0" fontId="53" fillId="65" borderId="0" applyNumberFormat="0" applyBorder="0" applyAlignment="0" applyProtection="0"/>
    <xf numFmtId="0" fontId="17" fillId="65" borderId="0" applyNumberFormat="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168"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0" fontId="21" fillId="66" borderId="8" applyNumberFormat="0" applyAlignment="0" applyProtection="0"/>
    <xf numFmtId="167" fontId="11" fillId="0" borderId="0" applyFont="0" applyFill="0" applyBorder="0" applyAlignment="0" applyProtection="0"/>
    <xf numFmtId="167" fontId="11" fillId="0" borderId="0" applyFont="0" applyFill="0" applyBorder="0" applyAlignment="0" applyProtection="0"/>
    <xf numFmtId="0" fontId="58" fillId="67" borderId="0" applyNumberFormat="0" applyBorder="0" applyAlignment="0" applyProtection="0"/>
    <xf numFmtId="0" fontId="22" fillId="67" borderId="0" applyNumberFormat="0" applyBorder="0" applyAlignment="0" applyProtection="0"/>
    <xf numFmtId="0" fontId="3" fillId="0" borderId="0"/>
    <xf numFmtId="0" fontId="3" fillId="0" borderId="0"/>
    <xf numFmtId="0" fontId="3" fillId="0" borderId="0"/>
    <xf numFmtId="0" fontId="3" fillId="0" borderId="0"/>
    <xf numFmtId="0" fontId="12" fillId="0" borderId="0"/>
    <xf numFmtId="0" fontId="7" fillId="0" borderId="0"/>
    <xf numFmtId="0" fontId="1" fillId="0" borderId="0"/>
    <xf numFmtId="0" fontId="3"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7" fillId="0" borderId="0"/>
    <xf numFmtId="0" fontId="7" fillId="0" borderId="0"/>
    <xf numFmtId="0" fontId="1"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12" fillId="0" borderId="0"/>
    <xf numFmtId="0" fontId="3" fillId="0" borderId="0"/>
    <xf numFmtId="0" fontId="7" fillId="0" borderId="0"/>
    <xf numFmtId="0" fontId="7" fillId="0" borderId="0"/>
    <xf numFmtId="0" fontId="3" fillId="0" borderId="0"/>
    <xf numFmtId="0" fontId="52" fillId="0" borderId="0"/>
    <xf numFmtId="0" fontId="52" fillId="0" borderId="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23" fillId="0" borderId="0" applyNumberFormat="0" applyBorder="0" applyProtection="0"/>
    <xf numFmtId="0" fontId="88" fillId="0" borderId="0" applyNumberFormat="0" applyBorder="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24" fillId="58" borderId="9"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0" fontId="60" fillId="0" borderId="0" applyNumberForma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26" fillId="0" borderId="0" applyNumberFormat="0" applyFill="0" applyBorder="0" applyAlignment="0" applyProtection="0"/>
    <xf numFmtId="0" fontId="63" fillId="0" borderId="14" applyNumberFormat="0" applyFill="0" applyAlignment="0" applyProtection="0"/>
    <xf numFmtId="0" fontId="28" fillId="0" borderId="14" applyNumberFormat="0" applyFill="0" applyAlignment="0" applyProtection="0"/>
    <xf numFmtId="0" fontId="64" fillId="0" borderId="18" applyNumberFormat="0" applyFill="0" applyAlignment="0" applyProtection="0"/>
    <xf numFmtId="0" fontId="29" fillId="0" borderId="15" applyNumberFormat="0" applyFill="0" applyAlignment="0" applyProtection="0"/>
    <xf numFmtId="0" fontId="65" fillId="0" borderId="16" applyNumberFormat="0" applyFill="0" applyAlignment="0" applyProtection="0"/>
    <xf numFmtId="0" fontId="30" fillId="0" borderId="16" applyNumberFormat="0" applyFill="0" applyAlignment="0" applyProtection="0"/>
    <xf numFmtId="0" fontId="65" fillId="0" borderId="0" applyNumberFormat="0" applyFill="0" applyBorder="0" applyAlignment="0" applyProtection="0"/>
    <xf numFmtId="0" fontId="30" fillId="0" borderId="0" applyNumberFormat="0" applyFill="0" applyBorder="0" applyAlignment="0" applyProtection="0"/>
    <xf numFmtId="0" fontId="62" fillId="0" borderId="0" applyNumberFormat="0" applyFill="0" applyBorder="0" applyAlignment="0" applyProtection="0"/>
    <xf numFmtId="0" fontId="27" fillId="0" borderId="0" applyNumberFormat="0" applyFill="0" applyBorder="0" applyAlignment="0" applyProtection="0"/>
    <xf numFmtId="0" fontId="66" fillId="0" borderId="17" applyNumberFormat="0" applyFill="0" applyAlignment="0" applyProtection="0"/>
    <xf numFmtId="0" fontId="31" fillId="0" borderId="17" applyNumberFormat="0" applyFill="0" applyAlignment="0" applyProtection="0"/>
    <xf numFmtId="0" fontId="67" fillId="69" borderId="0" applyNumberFormat="0" applyBorder="0" applyAlignment="0" applyProtection="0"/>
    <xf numFmtId="0" fontId="32" fillId="69" borderId="0" applyNumberFormat="0" applyBorder="0" applyAlignment="0" applyProtection="0"/>
    <xf numFmtId="0" fontId="68" fillId="70" borderId="0" applyNumberFormat="0" applyBorder="0" applyAlignment="0" applyProtection="0"/>
    <xf numFmtId="0" fontId="33" fillId="70" borderId="0" applyNumberFormat="0" applyBorder="0" applyAlignment="0" applyProtection="0"/>
    <xf numFmtId="0" fontId="8" fillId="0" borderId="0"/>
    <xf numFmtId="0" fontId="7" fillId="0" borderId="0"/>
    <xf numFmtId="0" fontId="7" fillId="0" borderId="0"/>
    <xf numFmtId="0" fontId="7" fillId="0" borderId="0"/>
    <xf numFmtId="0" fontId="7" fillId="0" borderId="0"/>
    <xf numFmtId="165" fontId="1" fillId="0" borderId="0" applyFon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 fillId="0" borderId="0"/>
    <xf numFmtId="0" fontId="7" fillId="0" borderId="0"/>
    <xf numFmtId="0" fontId="89" fillId="0" borderId="0"/>
    <xf numFmtId="0" fontId="1" fillId="0" borderId="0"/>
    <xf numFmtId="0" fontId="5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2" fillId="0" borderId="0"/>
    <xf numFmtId="9" fontId="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0" fontId="12" fillId="0" borderId="0"/>
    <xf numFmtId="43" fontId="4" fillId="0" borderId="0" applyFont="0" applyFill="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4" fillId="71"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4"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3"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4" fillId="72"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6"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5"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4" fillId="73"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8"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7"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4" fillId="74"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40"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39"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4" fillId="75"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1"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4"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11" fillId="42" borderId="0" applyNumberFormat="0" applyFon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4"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3"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4" fillId="76"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4"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4" fillId="77"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6"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5"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4"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7"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4" fillId="7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8"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4"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0" fontId="11" fillId="49" borderId="0" applyNumberFormat="0" applyFont="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166" fontId="11"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165"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4" fillId="0" borderId="0" applyNumberFormat="0" applyFill="0" applyBorder="0" applyAlignment="0" applyProtection="0">
      <alignment vertical="top"/>
      <protection locked="0"/>
    </xf>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3" fillId="0" borderId="0"/>
    <xf numFmtId="0" fontId="3" fillId="0" borderId="0"/>
    <xf numFmtId="0" fontId="8" fillId="0" borderId="0"/>
    <xf numFmtId="0" fontId="7"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7"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4"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11" fillId="0" borderId="0" applyNumberFormat="0" applyFont="0" applyBorder="0" applyProtection="0"/>
    <xf numFmtId="0" fontId="3" fillId="0" borderId="0"/>
    <xf numFmtId="0" fontId="3" fillId="0" borderId="0"/>
    <xf numFmtId="0" fontId="16" fillId="0" borderId="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4"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6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0" fontId="11" fillId="8" borderId="12"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1"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165" fontId="4" fillId="0" borderId="0" applyFont="0" applyFill="0" applyBorder="0" applyAlignment="0" applyProtection="0"/>
    <xf numFmtId="165" fontId="11" fillId="0" borderId="0" applyFont="0" applyFill="0" applyBorder="0" applyAlignment="0" applyProtection="0"/>
    <xf numFmtId="0" fontId="1" fillId="0" borderId="0"/>
  </cellStyleXfs>
  <cellXfs count="173">
    <xf numFmtId="0" fontId="0" fillId="0" borderId="0" xfId="0"/>
    <xf numFmtId="9" fontId="5" fillId="0" borderId="1" xfId="1" applyFont="1" applyFill="1" applyBorder="1" applyAlignment="1">
      <alignment horizontal="center" wrapText="1"/>
    </xf>
    <xf numFmtId="9" fontId="5" fillId="0" borderId="1" xfId="5" applyFont="1" applyFill="1" applyBorder="1" applyAlignment="1">
      <alignment horizontal="center" wrapText="1"/>
    </xf>
    <xf numFmtId="9" fontId="5" fillId="0" borderId="1" xfId="15" applyFont="1" applyFill="1" applyBorder="1" applyAlignment="1">
      <alignment horizontal="center" wrapText="1"/>
    </xf>
    <xf numFmtId="9" fontId="6" fillId="0" borderId="1" xfId="13" applyFont="1" applyFill="1" applyBorder="1" applyAlignment="1">
      <alignment horizontal="center" wrapText="1"/>
    </xf>
    <xf numFmtId="9" fontId="5" fillId="0" borderId="1" xfId="13" applyFont="1" applyFill="1" applyBorder="1" applyAlignment="1">
      <alignment horizontal="center" wrapText="1"/>
    </xf>
    <xf numFmtId="9" fontId="5" fillId="0" borderId="1" xfId="19" applyFont="1" applyFill="1" applyBorder="1" applyAlignment="1">
      <alignment horizontal="center" wrapText="1"/>
    </xf>
    <xf numFmtId="9" fontId="5" fillId="0" borderId="1" xfId="20" applyFont="1" applyFill="1" applyBorder="1" applyAlignment="1">
      <alignment horizontal="center" wrapText="1"/>
    </xf>
    <xf numFmtId="9" fontId="5" fillId="0" borderId="1" xfId="27" applyFont="1" applyFill="1" applyBorder="1" applyAlignment="1">
      <alignment horizontal="center" wrapText="1"/>
    </xf>
    <xf numFmtId="0" fontId="5" fillId="0" borderId="1" xfId="0" applyFont="1" applyBorder="1" applyAlignment="1">
      <alignment horizontal="center" wrapText="1"/>
    </xf>
    <xf numFmtId="4" fontId="5" fillId="0" borderId="1" xfId="0" applyNumberFormat="1" applyFont="1" applyBorder="1" applyAlignment="1">
      <alignment horizontal="center" wrapText="1"/>
    </xf>
    <xf numFmtId="9" fontId="5" fillId="0" borderId="1" xfId="0" applyNumberFormat="1" applyFont="1" applyBorder="1" applyAlignment="1">
      <alignment horizontal="center" wrapText="1"/>
    </xf>
    <xf numFmtId="0" fontId="5" fillId="0" borderId="1" xfId="0" applyFont="1" applyBorder="1" applyAlignment="1">
      <alignment horizontal="left" wrapText="1"/>
    </xf>
    <xf numFmtId="0" fontId="5" fillId="0" borderId="2" xfId="0" applyFont="1" applyBorder="1" applyAlignment="1">
      <alignment horizontal="left" wrapText="1"/>
    </xf>
    <xf numFmtId="0" fontId="5" fillId="0" borderId="1" xfId="23" applyFont="1" applyBorder="1" applyAlignment="1">
      <alignment horizontal="left" wrapText="1"/>
    </xf>
    <xf numFmtId="0" fontId="5" fillId="0" borderId="1" xfId="2" applyFont="1" applyBorder="1" applyAlignment="1">
      <alignment horizontal="left" wrapText="1"/>
    </xf>
    <xf numFmtId="0" fontId="5" fillId="0" borderId="1" xfId="3" applyFont="1" applyBorder="1" applyAlignment="1">
      <alignment horizontal="left" wrapText="1"/>
    </xf>
    <xf numFmtId="49" fontId="5" fillId="0" borderId="1" xfId="7" applyNumberFormat="1" applyFont="1" applyBorder="1" applyAlignment="1">
      <alignment horizontal="left" wrapText="1"/>
    </xf>
    <xf numFmtId="9" fontId="5" fillId="0" borderId="1" xfId="3" applyNumberFormat="1" applyFont="1" applyBorder="1" applyAlignment="1">
      <alignment horizontal="center" wrapText="1"/>
    </xf>
    <xf numFmtId="4" fontId="5" fillId="0" borderId="1" xfId="2" applyNumberFormat="1" applyFont="1" applyBorder="1" applyAlignment="1">
      <alignment horizontal="center" wrapText="1"/>
    </xf>
    <xf numFmtId="0" fontId="5" fillId="0" borderId="1" xfId="2" applyFont="1" applyBorder="1" applyAlignment="1">
      <alignment horizontal="center" wrapText="1"/>
    </xf>
    <xf numFmtId="0" fontId="5" fillId="0" borderId="1" xfId="11" applyFont="1" applyBorder="1" applyAlignment="1">
      <alignment horizontal="center" wrapText="1"/>
    </xf>
    <xf numFmtId="0" fontId="5" fillId="0" borderId="1" xfId="3" applyFont="1" applyBorder="1" applyAlignment="1">
      <alignment horizontal="center" wrapText="1"/>
    </xf>
    <xf numFmtId="0" fontId="5" fillId="0" borderId="0" xfId="0" applyFont="1" applyAlignment="1">
      <alignment wrapText="1"/>
    </xf>
    <xf numFmtId="49" fontId="5" fillId="0" borderId="1" xfId="22" applyNumberFormat="1" applyFont="1" applyBorder="1" applyAlignment="1">
      <alignment horizontal="center" wrapText="1"/>
    </xf>
    <xf numFmtId="9" fontId="5" fillId="0" borderId="2" xfId="0" applyNumberFormat="1" applyFont="1" applyBorder="1" applyAlignment="1">
      <alignment horizontal="center" wrapText="1"/>
    </xf>
    <xf numFmtId="4" fontId="2" fillId="0" borderId="1" xfId="2" applyNumberFormat="1" applyFont="1" applyBorder="1" applyAlignment="1">
      <alignment horizontal="center" wrapText="1"/>
    </xf>
    <xf numFmtId="2" fontId="5" fillId="0" borderId="1" xfId="0" applyNumberFormat="1" applyFont="1" applyBorder="1" applyAlignment="1">
      <alignment horizontal="center" wrapText="1"/>
    </xf>
    <xf numFmtId="4" fontId="5" fillId="0" borderId="1" xfId="18" applyNumberFormat="1" applyFont="1" applyBorder="1" applyAlignment="1">
      <alignment horizontal="center" wrapText="1"/>
    </xf>
    <xf numFmtId="4" fontId="5" fillId="0" borderId="1" xfId="3" applyNumberFormat="1" applyFont="1" applyBorder="1" applyAlignment="1">
      <alignment horizontal="center" wrapText="1"/>
    </xf>
    <xf numFmtId="4" fontId="5" fillId="0" borderId="1" xfId="4" applyNumberFormat="1" applyFont="1" applyBorder="1" applyAlignment="1">
      <alignment horizontal="center" wrapText="1"/>
    </xf>
    <xf numFmtId="2" fontId="5" fillId="0" borderId="1" xfId="2" applyNumberFormat="1" applyFont="1" applyBorder="1" applyAlignment="1">
      <alignment horizontal="center" wrapText="1"/>
    </xf>
    <xf numFmtId="0" fontId="5" fillId="0" borderId="1" xfId="8" applyFont="1" applyBorder="1" applyAlignment="1">
      <alignment horizontal="center" wrapText="1"/>
    </xf>
    <xf numFmtId="4" fontId="5" fillId="0" borderId="1" xfId="0" quotePrefix="1" applyNumberFormat="1" applyFont="1" applyBorder="1" applyAlignment="1">
      <alignment horizontal="center" wrapText="1"/>
    </xf>
    <xf numFmtId="2" fontId="5" fillId="0" borderId="1" xfId="3" applyNumberFormat="1" applyFont="1" applyBorder="1" applyAlignment="1">
      <alignment horizontal="center" wrapText="1"/>
    </xf>
    <xf numFmtId="4" fontId="5" fillId="0" borderId="1" xfId="7" applyNumberFormat="1" applyFont="1" applyBorder="1" applyAlignment="1">
      <alignment horizontal="center" wrapText="1"/>
    </xf>
    <xf numFmtId="4" fontId="5" fillId="0" borderId="1" xfId="22" applyNumberFormat="1" applyFont="1" applyBorder="1" applyAlignment="1">
      <alignment horizontal="center" wrapText="1"/>
    </xf>
    <xf numFmtId="2" fontId="2" fillId="0" borderId="1" xfId="2" applyNumberFormat="1" applyFont="1" applyBorder="1" applyAlignment="1">
      <alignment horizontal="center" wrapText="1"/>
    </xf>
    <xf numFmtId="0" fontId="2" fillId="0" borderId="1" xfId="0" applyFont="1" applyBorder="1" applyAlignment="1">
      <alignment horizontal="center" wrapText="1"/>
    </xf>
    <xf numFmtId="49" fontId="5" fillId="0" borderId="1" xfId="0" applyNumberFormat="1" applyFont="1" applyBorder="1" applyAlignment="1">
      <alignment horizontal="left" wrapText="1"/>
    </xf>
    <xf numFmtId="0" fontId="6" fillId="0" borderId="1" xfId="2" applyFont="1" applyBorder="1" applyAlignment="1">
      <alignment horizontal="left" wrapText="1"/>
    </xf>
    <xf numFmtId="0" fontId="6" fillId="0" borderId="1" xfId="0" applyFont="1" applyBorder="1" applyAlignment="1">
      <alignment horizontal="left" wrapText="1"/>
    </xf>
    <xf numFmtId="9" fontId="6" fillId="0" borderId="1" xfId="0" applyNumberFormat="1" applyFont="1" applyBorder="1" applyAlignment="1">
      <alignment horizontal="center" wrapText="1"/>
    </xf>
    <xf numFmtId="0" fontId="5" fillId="0" borderId="1" xfId="6" applyFont="1" applyBorder="1" applyAlignment="1">
      <alignment horizontal="left" wrapText="1"/>
    </xf>
    <xf numFmtId="0" fontId="5" fillId="0" borderId="1" xfId="6" applyFont="1" applyBorder="1" applyAlignment="1">
      <alignment horizontal="center" wrapText="1"/>
    </xf>
    <xf numFmtId="0" fontId="6" fillId="0" borderId="2" xfId="0" applyFont="1" applyBorder="1" applyAlignment="1">
      <alignment horizontal="left" wrapText="1"/>
    </xf>
    <xf numFmtId="0" fontId="5" fillId="0" borderId="1" xfId="7" applyFont="1" applyBorder="1" applyAlignment="1">
      <alignment horizontal="left" wrapText="1"/>
    </xf>
    <xf numFmtId="0" fontId="5" fillId="0" borderId="1" xfId="7" applyFont="1" applyBorder="1" applyAlignment="1">
      <alignment horizontal="center" wrapText="1"/>
    </xf>
    <xf numFmtId="49" fontId="6" fillId="0" borderId="1" xfId="0" applyNumberFormat="1" applyFont="1" applyBorder="1" applyAlignment="1">
      <alignment horizontal="left" wrapText="1"/>
    </xf>
    <xf numFmtId="0" fontId="6" fillId="0" borderId="1" xfId="53" applyFont="1" applyBorder="1" applyAlignment="1">
      <alignment horizontal="left" wrapText="1"/>
    </xf>
    <xf numFmtId="49" fontId="5" fillId="0" borderId="1" xfId="0" applyNumberFormat="1" applyFont="1" applyBorder="1" applyAlignment="1">
      <alignment horizontal="center" wrapText="1"/>
    </xf>
    <xf numFmtId="164" fontId="5" fillId="0" borderId="1" xfId="0" applyNumberFormat="1" applyFont="1" applyBorder="1" applyAlignment="1">
      <alignment horizontal="left" wrapText="1"/>
    </xf>
    <xf numFmtId="164" fontId="5" fillId="0" borderId="1" xfId="0" applyNumberFormat="1" applyFont="1" applyBorder="1" applyAlignment="1">
      <alignment horizontal="center" wrapText="1"/>
    </xf>
    <xf numFmtId="0" fontId="5" fillId="0" borderId="1" xfId="11" applyFont="1" applyBorder="1" applyAlignment="1">
      <alignment horizontal="left" wrapText="1"/>
    </xf>
    <xf numFmtId="1" fontId="5" fillId="0" borderId="1" xfId="0" applyNumberFormat="1" applyFont="1" applyBorder="1" applyAlignment="1">
      <alignment horizontal="left" wrapText="1"/>
    </xf>
    <xf numFmtId="1" fontId="6" fillId="0" borderId="1" xfId="0" applyNumberFormat="1" applyFont="1" applyBorder="1" applyAlignment="1">
      <alignment horizontal="left" wrapText="1"/>
    </xf>
    <xf numFmtId="4" fontId="5" fillId="0" borderId="1" xfId="0" applyNumberFormat="1" applyFont="1" applyBorder="1" applyAlignment="1">
      <alignment horizontal="left" wrapText="1"/>
    </xf>
    <xf numFmtId="0" fontId="5" fillId="0" borderId="1" xfId="53" applyFont="1" applyBorder="1" applyAlignment="1">
      <alignment horizontal="left" wrapText="1"/>
    </xf>
    <xf numFmtId="0" fontId="5" fillId="0" borderId="1" xfId="18" applyFont="1" applyBorder="1" applyAlignment="1">
      <alignment horizontal="left" wrapText="1"/>
    </xf>
    <xf numFmtId="0" fontId="5" fillId="0" borderId="1" xfId="4" applyFont="1" applyBorder="1" applyAlignment="1">
      <alignment horizontal="left" wrapText="1"/>
    </xf>
    <xf numFmtId="2" fontId="5" fillId="0" borderId="1" xfId="4" applyNumberFormat="1" applyFont="1" applyBorder="1" applyAlignment="1">
      <alignment horizontal="left" wrapText="1"/>
    </xf>
    <xf numFmtId="49" fontId="5" fillId="0" borderId="1" xfId="3" applyNumberFormat="1" applyFont="1" applyBorder="1" applyAlignment="1">
      <alignment horizontal="left" wrapText="1"/>
    </xf>
    <xf numFmtId="49" fontId="5" fillId="0" borderId="1" xfId="4" applyNumberFormat="1" applyFont="1" applyBorder="1" applyAlignment="1">
      <alignment horizontal="left" wrapText="1"/>
    </xf>
    <xf numFmtId="0" fontId="5" fillId="0" borderId="1" xfId="21" applyFont="1" applyBorder="1" applyAlignment="1">
      <alignment horizontal="left" wrapText="1"/>
    </xf>
    <xf numFmtId="9" fontId="5" fillId="0" borderId="1" xfId="4" applyNumberFormat="1" applyFont="1" applyBorder="1" applyAlignment="1">
      <alignment horizontal="left" wrapText="1"/>
    </xf>
    <xf numFmtId="2" fontId="5" fillId="0" borderId="1" xfId="3" applyNumberFormat="1" applyFont="1" applyBorder="1" applyAlignment="1">
      <alignment horizontal="left" wrapText="1"/>
    </xf>
    <xf numFmtId="2" fontId="5" fillId="0" borderId="1" xfId="22" applyNumberFormat="1" applyFont="1" applyBorder="1" applyAlignment="1">
      <alignment horizontal="left" wrapText="1"/>
    </xf>
    <xf numFmtId="9" fontId="5" fillId="0" borderId="1" xfId="0" applyNumberFormat="1" applyFont="1" applyBorder="1" applyAlignment="1">
      <alignment horizontal="left" wrapText="1"/>
    </xf>
    <xf numFmtId="0" fontId="5" fillId="0" borderId="2" xfId="0" applyFont="1" applyBorder="1" applyAlignment="1">
      <alignment horizontal="center" wrapText="1"/>
    </xf>
    <xf numFmtId="164" fontId="5" fillId="0" borderId="2" xfId="0" applyNumberFormat="1" applyFont="1" applyBorder="1" applyAlignment="1">
      <alignment horizontal="left" wrapText="1"/>
    </xf>
    <xf numFmtId="49" fontId="5" fillId="0" borderId="3" xfId="0" applyNumberFormat="1" applyFont="1" applyBorder="1" applyAlignment="1">
      <alignment horizontal="center" wrapText="1"/>
    </xf>
    <xf numFmtId="9" fontId="5" fillId="0" borderId="3" xfId="0" applyNumberFormat="1" applyFont="1" applyBorder="1" applyAlignment="1">
      <alignment horizontal="center" wrapText="1"/>
    </xf>
    <xf numFmtId="49" fontId="5" fillId="0" borderId="3" xfId="0" applyNumberFormat="1" applyFont="1" applyBorder="1" applyAlignment="1">
      <alignment horizontal="left" wrapText="1"/>
    </xf>
    <xf numFmtId="4" fontId="5" fillId="0" borderId="1" xfId="8" applyNumberFormat="1" applyFont="1" applyBorder="1" applyAlignment="1">
      <alignment horizontal="left" wrapText="1"/>
    </xf>
    <xf numFmtId="4" fontId="5" fillId="0" borderId="1" xfId="8" applyNumberFormat="1" applyFont="1" applyBorder="1" applyAlignment="1">
      <alignment horizontal="center" wrapText="1"/>
    </xf>
    <xf numFmtId="9" fontId="5" fillId="0" borderId="3" xfId="0" applyNumberFormat="1" applyFont="1" applyBorder="1" applyAlignment="1">
      <alignment horizontal="left" wrapText="1"/>
    </xf>
    <xf numFmtId="0" fontId="5" fillId="0" borderId="0" xfId="0" applyFont="1" applyAlignment="1">
      <alignment horizontal="left" wrapText="1"/>
    </xf>
    <xf numFmtId="0" fontId="5" fillId="0" borderId="0" xfId="0" applyFont="1" applyAlignment="1">
      <alignment horizontal="center" wrapText="1"/>
    </xf>
    <xf numFmtId="0" fontId="2" fillId="0" borderId="0" xfId="0" applyFont="1" applyAlignment="1">
      <alignment horizontal="center" wrapText="1"/>
    </xf>
    <xf numFmtId="9" fontId="5" fillId="0" borderId="1" xfId="2" applyNumberFormat="1" applyFont="1" applyBorder="1" applyAlignment="1">
      <alignment horizontal="center" wrapText="1"/>
    </xf>
    <xf numFmtId="0" fontId="6" fillId="0" borderId="0" xfId="0" applyFont="1" applyAlignment="1">
      <alignment wrapText="1"/>
    </xf>
    <xf numFmtId="49" fontId="5" fillId="0" borderId="0" xfId="0" applyNumberFormat="1" applyFont="1" applyAlignment="1">
      <alignment wrapText="1"/>
    </xf>
    <xf numFmtId="4" fontId="5" fillId="0" borderId="1" xfId="52" applyNumberFormat="1" applyFont="1" applyFill="1" applyBorder="1" applyAlignment="1">
      <alignment horizontal="center" wrapText="1"/>
    </xf>
    <xf numFmtId="0" fontId="5" fillId="0" borderId="1" xfId="14" applyFont="1" applyBorder="1" applyAlignment="1">
      <alignment horizontal="center" wrapText="1"/>
    </xf>
    <xf numFmtId="4" fontId="5" fillId="0" borderId="1" xfId="11" applyNumberFormat="1" applyFont="1" applyBorder="1" applyAlignment="1">
      <alignment horizontal="center" wrapText="1"/>
    </xf>
    <xf numFmtId="0" fontId="5" fillId="0" borderId="4" xfId="12" applyFont="1" applyBorder="1" applyAlignment="1">
      <alignment horizontal="center" wrapText="1"/>
    </xf>
    <xf numFmtId="0" fontId="5" fillId="0" borderId="1" xfId="12" applyFont="1" applyBorder="1" applyAlignment="1">
      <alignment horizontal="center" wrapText="1"/>
    </xf>
    <xf numFmtId="9" fontId="5" fillId="0" borderId="1" xfId="7" applyNumberFormat="1" applyFont="1" applyBorder="1" applyAlignment="1">
      <alignment horizontal="center" wrapText="1"/>
    </xf>
    <xf numFmtId="4" fontId="5" fillId="0" borderId="3" xfId="0" applyNumberFormat="1" applyFont="1" applyBorder="1" applyAlignment="1">
      <alignment horizontal="center" wrapText="1"/>
    </xf>
    <xf numFmtId="4" fontId="5" fillId="0" borderId="2" xfId="0" applyNumberFormat="1" applyFont="1" applyBorder="1" applyAlignment="1">
      <alignment horizontal="center" wrapText="1"/>
    </xf>
    <xf numFmtId="49" fontId="5" fillId="0" borderId="3" xfId="24" applyNumberFormat="1" applyFont="1" applyBorder="1" applyAlignment="1">
      <alignment horizontal="center" wrapText="1"/>
    </xf>
    <xf numFmtId="4" fontId="5" fillId="0" borderId="1" xfId="25" applyNumberFormat="1" applyFont="1" applyBorder="1" applyAlignment="1">
      <alignment horizontal="center" wrapText="1"/>
    </xf>
    <xf numFmtId="4" fontId="5" fillId="0" borderId="1" xfId="26" applyNumberFormat="1" applyFont="1" applyBorder="1" applyAlignment="1">
      <alignment horizontal="center" wrapText="1"/>
    </xf>
    <xf numFmtId="0" fontId="10" fillId="0" borderId="1" xfId="0" applyFont="1" applyBorder="1" applyAlignment="1">
      <alignment horizontal="left" wrapText="1"/>
    </xf>
    <xf numFmtId="4" fontId="5" fillId="0" borderId="1" xfId="3" applyNumberFormat="1" applyFont="1" applyBorder="1" applyAlignment="1">
      <alignment horizontal="left" wrapText="1"/>
    </xf>
    <xf numFmtId="2" fontId="5" fillId="0" borderId="1" xfId="1" applyNumberFormat="1" applyFont="1" applyFill="1" applyBorder="1" applyAlignment="1">
      <alignment horizontal="center" wrapText="1"/>
    </xf>
    <xf numFmtId="2" fontId="5" fillId="0" borderId="1" xfId="5" applyNumberFormat="1" applyFont="1" applyFill="1" applyBorder="1" applyAlignment="1">
      <alignment horizontal="center" wrapText="1"/>
    </xf>
    <xf numFmtId="2" fontId="6" fillId="0" borderId="1" xfId="0" applyNumberFormat="1" applyFont="1" applyBorder="1" applyAlignment="1">
      <alignment horizontal="center" wrapText="1"/>
    </xf>
    <xf numFmtId="2" fontId="5" fillId="0" borderId="1" xfId="15" applyNumberFormat="1" applyFont="1" applyFill="1" applyBorder="1" applyAlignment="1">
      <alignment horizontal="center" wrapText="1"/>
    </xf>
    <xf numFmtId="2" fontId="6" fillId="0" borderId="1" xfId="13" applyNumberFormat="1" applyFont="1" applyFill="1" applyBorder="1" applyAlignment="1">
      <alignment horizontal="center" wrapText="1"/>
    </xf>
    <xf numFmtId="2" fontId="5" fillId="0" borderId="1" xfId="13" applyNumberFormat="1" applyFont="1" applyFill="1" applyBorder="1" applyAlignment="1">
      <alignment horizontal="center" wrapText="1"/>
    </xf>
    <xf numFmtId="2" fontId="5" fillId="0" borderId="1" xfId="19" applyNumberFormat="1" applyFont="1" applyFill="1" applyBorder="1" applyAlignment="1">
      <alignment horizontal="center" wrapText="1"/>
    </xf>
    <xf numFmtId="2" fontId="5" fillId="0" borderId="1" xfId="20" applyNumberFormat="1" applyFont="1" applyFill="1" applyBorder="1" applyAlignment="1">
      <alignment horizontal="center" wrapText="1"/>
    </xf>
    <xf numFmtId="2" fontId="5" fillId="0" borderId="1" xfId="22" applyNumberFormat="1" applyFont="1" applyBorder="1" applyAlignment="1">
      <alignment horizontal="center" wrapText="1"/>
    </xf>
    <xf numFmtId="2" fontId="5" fillId="0" borderId="1" xfId="7" applyNumberFormat="1" applyFont="1" applyBorder="1" applyAlignment="1">
      <alignment horizontal="center" wrapText="1"/>
    </xf>
    <xf numFmtId="2" fontId="5" fillId="0" borderId="2" xfId="0" applyNumberFormat="1" applyFont="1" applyBorder="1" applyAlignment="1">
      <alignment horizontal="center" wrapText="1"/>
    </xf>
    <xf numFmtId="2" fontId="5" fillId="0" borderId="3" xfId="0" applyNumberFormat="1" applyFont="1" applyBorder="1" applyAlignment="1">
      <alignment horizontal="center" wrapText="1"/>
    </xf>
    <xf numFmtId="2" fontId="5" fillId="0" borderId="1" xfId="27" applyNumberFormat="1" applyFont="1" applyFill="1" applyBorder="1" applyAlignment="1">
      <alignment horizontal="center" wrapText="1"/>
    </xf>
    <xf numFmtId="2" fontId="90" fillId="0" borderId="0" xfId="0" applyNumberFormat="1" applyFont="1" applyAlignment="1">
      <alignment horizontal="center"/>
    </xf>
    <xf numFmtId="2" fontId="90" fillId="0" borderId="1" xfId="0" applyNumberFormat="1" applyFont="1" applyBorder="1" applyAlignment="1">
      <alignment horizontal="center"/>
    </xf>
    <xf numFmtId="2" fontId="90" fillId="0" borderId="2" xfId="0" applyNumberFormat="1" applyFont="1" applyBorder="1" applyAlignment="1">
      <alignment horizontal="center"/>
    </xf>
    <xf numFmtId="2" fontId="90" fillId="0" borderId="3" xfId="0" applyNumberFormat="1" applyFont="1" applyBorder="1" applyAlignment="1">
      <alignment horizontal="center"/>
    </xf>
    <xf numFmtId="0" fontId="2" fillId="106" borderId="1" xfId="0" applyFont="1" applyFill="1" applyBorder="1" applyAlignment="1">
      <alignment horizontal="center" wrapText="1"/>
    </xf>
    <xf numFmtId="10" fontId="90" fillId="106" borderId="1" xfId="0" applyNumberFormat="1" applyFont="1" applyFill="1" applyBorder="1" applyAlignment="1">
      <alignment horizontal="center"/>
    </xf>
    <xf numFmtId="0" fontId="5" fillId="106" borderId="0" xfId="0" applyFont="1" applyFill="1" applyAlignment="1">
      <alignment horizontal="center" wrapText="1"/>
    </xf>
    <xf numFmtId="0" fontId="93" fillId="107" borderId="1" xfId="0" applyFont="1" applyFill="1" applyBorder="1" applyAlignment="1">
      <alignment horizontal="center" wrapText="1"/>
    </xf>
    <xf numFmtId="0" fontId="93" fillId="106" borderId="0" xfId="0" applyFont="1" applyFill="1" applyAlignment="1">
      <alignment horizontal="center" wrapText="1"/>
    </xf>
    <xf numFmtId="0" fontId="93" fillId="107" borderId="29" xfId="0" applyFont="1" applyFill="1" applyBorder="1" applyAlignment="1">
      <alignment horizontal="center" wrapText="1"/>
    </xf>
    <xf numFmtId="0" fontId="93" fillId="107" borderId="2" xfId="0" applyFont="1" applyFill="1" applyBorder="1" applyAlignment="1">
      <alignment horizontal="center" wrapText="1"/>
    </xf>
    <xf numFmtId="0" fontId="93" fillId="107" borderId="30" xfId="0" applyFont="1" applyFill="1" applyBorder="1" applyAlignment="1">
      <alignment horizontal="center" wrapText="1"/>
    </xf>
    <xf numFmtId="0" fontId="93" fillId="107" borderId="31" xfId="0" applyFont="1" applyFill="1" applyBorder="1" applyAlignment="1">
      <alignment horizontal="center" wrapText="1"/>
    </xf>
    <xf numFmtId="0" fontId="93" fillId="107" borderId="35" xfId="0" applyFont="1" applyFill="1" applyBorder="1" applyAlignment="1">
      <alignment horizontal="center" wrapText="1"/>
    </xf>
    <xf numFmtId="0" fontId="93" fillId="107" borderId="28" xfId="0" applyFont="1" applyFill="1" applyBorder="1" applyAlignment="1">
      <alignment horizontal="center" wrapText="1"/>
    </xf>
    <xf numFmtId="0" fontId="5" fillId="0" borderId="36" xfId="0" applyFont="1" applyBorder="1" applyAlignment="1">
      <alignment horizontal="center" wrapText="1"/>
    </xf>
    <xf numFmtId="0" fontId="5" fillId="0" borderId="37" xfId="0" applyFont="1" applyBorder="1" applyAlignment="1">
      <alignment horizontal="center" wrapText="1"/>
    </xf>
    <xf numFmtId="0" fontId="93" fillId="107" borderId="34" xfId="0" applyFont="1" applyFill="1" applyBorder="1" applyAlignment="1">
      <alignment horizontal="center" wrapText="1"/>
    </xf>
    <xf numFmtId="0" fontId="2" fillId="0" borderId="0" xfId="0" applyFont="1" applyBorder="1" applyAlignment="1">
      <alignment horizontal="center" wrapText="1"/>
    </xf>
    <xf numFmtId="4" fontId="2" fillId="0" borderId="0" xfId="0" applyNumberFormat="1" applyFont="1" applyAlignment="1">
      <alignment horizontal="center" wrapText="1"/>
    </xf>
    <xf numFmtId="4" fontId="5" fillId="0" borderId="0" xfId="0" applyNumberFormat="1" applyFont="1" applyAlignment="1">
      <alignment wrapText="1"/>
    </xf>
    <xf numFmtId="0" fontId="5" fillId="0" borderId="0" xfId="0" applyFont="1" applyBorder="1" applyAlignment="1">
      <alignment horizontal="center" wrapText="1"/>
    </xf>
    <xf numFmtId="0" fontId="6" fillId="0" borderId="0" xfId="0" applyFont="1" applyBorder="1" applyAlignment="1">
      <alignment horizontal="center" wrapText="1"/>
    </xf>
    <xf numFmtId="0" fontId="5" fillId="0" borderId="0" xfId="2" applyFont="1" applyBorder="1" applyAlignment="1">
      <alignment horizontal="center" wrapText="1"/>
    </xf>
    <xf numFmtId="0" fontId="10" fillId="0" borderId="0" xfId="0" applyFont="1" applyBorder="1" applyAlignment="1">
      <alignment horizontal="center" wrapText="1"/>
    </xf>
    <xf numFmtId="0" fontId="5" fillId="0" borderId="0" xfId="21" applyFont="1" applyBorder="1" applyAlignment="1">
      <alignment horizontal="center" wrapText="1"/>
    </xf>
    <xf numFmtId="0" fontId="5" fillId="0" borderId="0" xfId="3" applyFont="1" applyBorder="1" applyAlignment="1">
      <alignment horizontal="center" wrapText="1"/>
    </xf>
    <xf numFmtId="4" fontId="5" fillId="0" borderId="0" xfId="0" applyNumberFormat="1" applyFont="1" applyBorder="1" applyAlignment="1">
      <alignment horizontal="center" wrapText="1"/>
    </xf>
    <xf numFmtId="164" fontId="5" fillId="0" borderId="0" xfId="0" applyNumberFormat="1" applyFont="1" applyBorder="1" applyAlignment="1">
      <alignment horizontal="center" wrapText="1"/>
    </xf>
    <xf numFmtId="9" fontId="5" fillId="0" borderId="0" xfId="0" applyNumberFormat="1" applyFont="1" applyBorder="1" applyAlignment="1">
      <alignment horizontal="center" wrapText="1"/>
    </xf>
    <xf numFmtId="49" fontId="5" fillId="0" borderId="0" xfId="0" applyNumberFormat="1" applyFont="1" applyBorder="1" applyAlignment="1">
      <alignment horizontal="center" wrapText="1"/>
    </xf>
    <xf numFmtId="0" fontId="6" fillId="0" borderId="0" xfId="2" applyFont="1" applyBorder="1" applyAlignment="1">
      <alignment horizontal="center" wrapText="1"/>
    </xf>
    <xf numFmtId="0" fontId="5" fillId="0" borderId="0" xfId="4" applyFont="1" applyBorder="1" applyAlignment="1">
      <alignment horizontal="center" wrapText="1"/>
    </xf>
    <xf numFmtId="43" fontId="2" fillId="0" borderId="0" xfId="52" applyFont="1" applyAlignment="1">
      <alignment horizontal="center" wrapText="1"/>
    </xf>
    <xf numFmtId="43" fontId="5" fillId="0" borderId="0" xfId="52" applyFont="1" applyAlignment="1">
      <alignment wrapText="1"/>
    </xf>
    <xf numFmtId="43" fontId="5" fillId="0" borderId="38" xfId="52" applyFont="1" applyBorder="1" applyAlignment="1">
      <alignment wrapText="1"/>
    </xf>
    <xf numFmtId="43" fontId="5" fillId="0" borderId="39" xfId="52" applyFont="1" applyBorder="1" applyAlignment="1">
      <alignment wrapText="1"/>
    </xf>
    <xf numFmtId="43" fontId="5" fillId="0" borderId="32" xfId="52" applyFont="1" applyBorder="1" applyAlignment="1">
      <alignment wrapText="1"/>
    </xf>
    <xf numFmtId="43" fontId="5" fillId="0" borderId="33" xfId="52" applyFont="1" applyBorder="1" applyAlignment="1">
      <alignment wrapText="1"/>
    </xf>
    <xf numFmtId="43" fontId="5" fillId="0" borderId="34" xfId="52" applyFont="1" applyBorder="1" applyAlignment="1">
      <alignment wrapText="1"/>
    </xf>
    <xf numFmtId="43" fontId="5" fillId="0" borderId="28" xfId="52" applyFont="1" applyBorder="1" applyAlignment="1">
      <alignment wrapText="1"/>
    </xf>
    <xf numFmtId="0" fontId="94" fillId="0" borderId="1" xfId="0" applyFont="1" applyBorder="1" applyAlignment="1">
      <alignment horizontal="left" wrapText="1"/>
    </xf>
    <xf numFmtId="9" fontId="94" fillId="0" borderId="1" xfId="0" applyNumberFormat="1" applyFont="1" applyBorder="1" applyAlignment="1">
      <alignment horizontal="center" wrapText="1"/>
    </xf>
    <xf numFmtId="2" fontId="94" fillId="0" borderId="1" xfId="0" applyNumberFormat="1" applyFont="1" applyBorder="1" applyAlignment="1">
      <alignment horizontal="center"/>
    </xf>
    <xf numFmtId="10" fontId="94" fillId="106" borderId="1" xfId="0" applyNumberFormat="1" applyFont="1" applyFill="1" applyBorder="1" applyAlignment="1">
      <alignment horizontal="center"/>
    </xf>
    <xf numFmtId="4" fontId="94" fillId="0" borderId="0" xfId="0" applyNumberFormat="1" applyFont="1" applyBorder="1" applyAlignment="1">
      <alignment horizontal="center" wrapText="1"/>
    </xf>
    <xf numFmtId="43" fontId="94" fillId="0" borderId="0" xfId="52" applyFont="1" applyAlignment="1">
      <alignment wrapText="1"/>
    </xf>
    <xf numFmtId="4" fontId="94" fillId="0" borderId="0" xfId="0" applyNumberFormat="1" applyFont="1" applyAlignment="1">
      <alignment wrapText="1"/>
    </xf>
    <xf numFmtId="0" fontId="94" fillId="0" borderId="0" xfId="0" applyFont="1" applyAlignment="1">
      <alignment wrapText="1"/>
    </xf>
    <xf numFmtId="0" fontId="2" fillId="108" borderId="40" xfId="0" applyFont="1" applyFill="1" applyBorder="1" applyAlignment="1">
      <alignment horizontal="center" wrapText="1"/>
    </xf>
    <xf numFmtId="4" fontId="2" fillId="109" borderId="40" xfId="0" applyNumberFormat="1" applyFont="1" applyFill="1" applyBorder="1" applyAlignment="1">
      <alignment horizontal="center" wrapText="1"/>
    </xf>
    <xf numFmtId="43" fontId="5" fillId="108" borderId="40" xfId="0" applyNumberFormat="1" applyFont="1" applyFill="1" applyBorder="1" applyAlignment="1">
      <alignment wrapText="1"/>
    </xf>
    <xf numFmtId="4" fontId="5" fillId="109" borderId="40" xfId="0" applyNumberFormat="1" applyFont="1" applyFill="1" applyBorder="1" applyAlignment="1">
      <alignment wrapText="1"/>
    </xf>
    <xf numFmtId="43" fontId="94" fillId="108" borderId="40" xfId="0" applyNumberFormat="1" applyFont="1" applyFill="1" applyBorder="1" applyAlignment="1">
      <alignment wrapText="1"/>
    </xf>
    <xf numFmtId="4" fontId="94" fillId="109" borderId="40" xfId="0" applyNumberFormat="1" applyFont="1" applyFill="1" applyBorder="1" applyAlignment="1">
      <alignment wrapText="1"/>
    </xf>
    <xf numFmtId="0" fontId="5" fillId="0" borderId="40" xfId="0" applyFont="1" applyBorder="1" applyAlignment="1">
      <alignment wrapText="1"/>
    </xf>
    <xf numFmtId="4" fontId="5" fillId="0" borderId="40" xfId="0" applyNumberFormat="1" applyFont="1" applyBorder="1" applyAlignment="1">
      <alignment wrapText="1"/>
    </xf>
    <xf numFmtId="4" fontId="2" fillId="107" borderId="1" xfId="2" applyNumberFormat="1" applyFont="1" applyFill="1" applyBorder="1" applyAlignment="1">
      <alignment horizontal="center" wrapText="1"/>
    </xf>
    <xf numFmtId="4" fontId="5" fillId="107" borderId="1" xfId="2" applyNumberFormat="1" applyFont="1" applyFill="1" applyBorder="1" applyAlignment="1">
      <alignment horizontal="center" wrapText="1"/>
    </xf>
    <xf numFmtId="4" fontId="5" fillId="107" borderId="1" xfId="0" applyNumberFormat="1" applyFont="1" applyFill="1" applyBorder="1" applyAlignment="1">
      <alignment horizontal="center" wrapText="1"/>
    </xf>
    <xf numFmtId="4" fontId="5" fillId="107" borderId="1" xfId="10" applyNumberFormat="1" applyFont="1" applyFill="1" applyBorder="1" applyAlignment="1">
      <alignment horizontal="center" wrapText="1"/>
    </xf>
    <xf numFmtId="4" fontId="94" fillId="107" borderId="1" xfId="2" applyNumberFormat="1" applyFont="1" applyFill="1" applyBorder="1" applyAlignment="1">
      <alignment horizontal="center" wrapText="1"/>
    </xf>
    <xf numFmtId="4" fontId="5" fillId="107" borderId="3" xfId="0" applyNumberFormat="1" applyFont="1" applyFill="1" applyBorder="1" applyAlignment="1">
      <alignment horizontal="center" wrapText="1"/>
    </xf>
    <xf numFmtId="2" fontId="5" fillId="107" borderId="1" xfId="0" applyNumberFormat="1" applyFont="1" applyFill="1" applyBorder="1" applyAlignment="1">
      <alignment horizontal="center" wrapText="1"/>
    </xf>
    <xf numFmtId="4" fontId="5" fillId="107" borderId="0" xfId="0" applyNumberFormat="1" applyFont="1" applyFill="1" applyAlignment="1">
      <alignment horizontal="center" wrapText="1"/>
    </xf>
  </cellXfs>
  <cellStyles count="12291">
    <cellStyle name="20% - Accent1 2" xfId="231"/>
    <cellStyle name="20% - Accent1 2 10" xfId="382"/>
    <cellStyle name="20% - Accent1 2 10 2" xfId="383"/>
    <cellStyle name="20% - Accent1 2 11" xfId="384"/>
    <cellStyle name="20% - Accent1 2 11 2" xfId="385"/>
    <cellStyle name="20% - Accent1 2 12" xfId="386"/>
    <cellStyle name="20% - Accent1 2 12 2" xfId="387"/>
    <cellStyle name="20% - Accent1 2 13" xfId="388"/>
    <cellStyle name="20% - Accent1 2 13 2" xfId="389"/>
    <cellStyle name="20% - Accent1 2 14" xfId="390"/>
    <cellStyle name="20% - Accent1 2 14 2" xfId="391"/>
    <cellStyle name="20% - Accent1 2 15" xfId="392"/>
    <cellStyle name="20% - Accent1 2 15 2" xfId="393"/>
    <cellStyle name="20% - Accent1 2 16" xfId="394"/>
    <cellStyle name="20% - Accent1 2 16 2" xfId="395"/>
    <cellStyle name="20% - Accent1 2 17" xfId="396"/>
    <cellStyle name="20% - Accent1 2 17 2" xfId="397"/>
    <cellStyle name="20% - Accent1 2 18" xfId="2434"/>
    <cellStyle name="20% - Accent1 2 18 2" xfId="2822"/>
    <cellStyle name="20% - Accent1 2 19" xfId="2747"/>
    <cellStyle name="20% - Accent1 2 2" xfId="359"/>
    <cellStyle name="20% - Accent1 2 2 2" xfId="399"/>
    <cellStyle name="20% - Accent1 2 2 3" xfId="398"/>
    <cellStyle name="20% - Accent1 2 2 4" xfId="2772"/>
    <cellStyle name="20% - Accent1 2 2 5" xfId="11684"/>
    <cellStyle name="20% - Accent1 2 20" xfId="11685"/>
    <cellStyle name="20% - Accent1 2 3" xfId="400"/>
    <cellStyle name="20% - Accent1 2 3 2" xfId="401"/>
    <cellStyle name="20% - Accent1 2 4" xfId="402"/>
    <cellStyle name="20% - Accent1 2 4 2" xfId="403"/>
    <cellStyle name="20% - Accent1 2 5" xfId="404"/>
    <cellStyle name="20% - Accent1 2 5 2" xfId="405"/>
    <cellStyle name="20% - Accent1 2 6" xfId="406"/>
    <cellStyle name="20% - Accent1 2 6 2" xfId="407"/>
    <cellStyle name="20% - Accent1 2 7" xfId="408"/>
    <cellStyle name="20% - Accent1 2 7 2" xfId="409"/>
    <cellStyle name="20% - Accent1 2 8" xfId="410"/>
    <cellStyle name="20% - Accent1 2 8 2" xfId="411"/>
    <cellStyle name="20% - Accent1 2 9" xfId="412"/>
    <cellStyle name="20% - Accent1 2 9 2" xfId="413"/>
    <cellStyle name="20% - Accent1 3 10" xfId="414"/>
    <cellStyle name="20% - Accent1 3 10 2" xfId="415"/>
    <cellStyle name="20% - Accent1 3 11" xfId="416"/>
    <cellStyle name="20% - Accent1 3 11 2" xfId="417"/>
    <cellStyle name="20% - Accent1 3 12" xfId="418"/>
    <cellStyle name="20% - Accent1 3 12 2" xfId="419"/>
    <cellStyle name="20% - Accent1 3 13" xfId="420"/>
    <cellStyle name="20% - Accent1 3 13 2" xfId="421"/>
    <cellStyle name="20% - Accent1 3 14" xfId="422"/>
    <cellStyle name="20% - Accent1 3 14 2" xfId="423"/>
    <cellStyle name="20% - Accent1 3 15" xfId="424"/>
    <cellStyle name="20% - Accent1 3 15 2" xfId="425"/>
    <cellStyle name="20% - Accent1 3 16" xfId="426"/>
    <cellStyle name="20% - Accent1 3 16 2" xfId="427"/>
    <cellStyle name="20% - Accent1 3 17" xfId="428"/>
    <cellStyle name="20% - Accent1 3 17 2" xfId="429"/>
    <cellStyle name="20% - Accent1 3 2" xfId="430"/>
    <cellStyle name="20% - Accent1 3 2 2" xfId="431"/>
    <cellStyle name="20% - Accent1 3 3" xfId="432"/>
    <cellStyle name="20% - Accent1 3 3 2" xfId="433"/>
    <cellStyle name="20% - Accent1 3 4" xfId="434"/>
    <cellStyle name="20% - Accent1 3 4 2" xfId="435"/>
    <cellStyle name="20% - Accent1 3 5" xfId="436"/>
    <cellStyle name="20% - Accent1 3 5 2" xfId="437"/>
    <cellStyle name="20% - Accent1 3 6" xfId="438"/>
    <cellStyle name="20% - Accent1 3 6 2" xfId="439"/>
    <cellStyle name="20% - Accent1 3 7" xfId="440"/>
    <cellStyle name="20% - Accent1 3 7 2" xfId="441"/>
    <cellStyle name="20% - Accent1 3 8" xfId="442"/>
    <cellStyle name="20% - Accent1 3 8 2" xfId="443"/>
    <cellStyle name="20% - Accent1 3 9" xfId="444"/>
    <cellStyle name="20% - Accent1 3 9 2" xfId="445"/>
    <cellStyle name="20% - Accent2 2" xfId="232"/>
    <cellStyle name="20% - Accent2 2 10" xfId="446"/>
    <cellStyle name="20% - Accent2 2 10 2" xfId="447"/>
    <cellStyle name="20% - Accent2 2 11" xfId="448"/>
    <cellStyle name="20% - Accent2 2 11 2" xfId="449"/>
    <cellStyle name="20% - Accent2 2 12" xfId="450"/>
    <cellStyle name="20% - Accent2 2 12 2" xfId="451"/>
    <cellStyle name="20% - Accent2 2 13" xfId="452"/>
    <cellStyle name="20% - Accent2 2 13 2" xfId="453"/>
    <cellStyle name="20% - Accent2 2 14" xfId="454"/>
    <cellStyle name="20% - Accent2 2 14 2" xfId="455"/>
    <cellStyle name="20% - Accent2 2 15" xfId="456"/>
    <cellStyle name="20% - Accent2 2 15 2" xfId="457"/>
    <cellStyle name="20% - Accent2 2 16" xfId="458"/>
    <cellStyle name="20% - Accent2 2 16 2" xfId="459"/>
    <cellStyle name="20% - Accent2 2 17" xfId="460"/>
    <cellStyle name="20% - Accent2 2 17 2" xfId="461"/>
    <cellStyle name="20% - Accent2 2 18" xfId="2435"/>
    <cellStyle name="20% - Accent2 2 18 2" xfId="2823"/>
    <cellStyle name="20% - Accent2 2 19" xfId="2748"/>
    <cellStyle name="20% - Accent2 2 2" xfId="360"/>
    <cellStyle name="20% - Accent2 2 2 2" xfId="463"/>
    <cellStyle name="20% - Accent2 2 2 3" xfId="462"/>
    <cellStyle name="20% - Accent2 2 2 4" xfId="2773"/>
    <cellStyle name="20% - Accent2 2 2 5" xfId="11686"/>
    <cellStyle name="20% - Accent2 2 20" xfId="11687"/>
    <cellStyle name="20% - Accent2 2 3" xfId="464"/>
    <cellStyle name="20% - Accent2 2 3 2" xfId="465"/>
    <cellStyle name="20% - Accent2 2 4" xfId="466"/>
    <cellStyle name="20% - Accent2 2 4 2" xfId="467"/>
    <cellStyle name="20% - Accent2 2 5" xfId="468"/>
    <cellStyle name="20% - Accent2 2 5 2" xfId="469"/>
    <cellStyle name="20% - Accent2 2 6" xfId="470"/>
    <cellStyle name="20% - Accent2 2 6 2" xfId="471"/>
    <cellStyle name="20% - Accent2 2 7" xfId="472"/>
    <cellStyle name="20% - Accent2 2 7 2" xfId="473"/>
    <cellStyle name="20% - Accent2 2 8" xfId="474"/>
    <cellStyle name="20% - Accent2 2 8 2" xfId="475"/>
    <cellStyle name="20% - Accent2 2 9" xfId="476"/>
    <cellStyle name="20% - Accent2 2 9 2" xfId="477"/>
    <cellStyle name="20% - Accent2 3 10" xfId="478"/>
    <cellStyle name="20% - Accent2 3 10 2" xfId="479"/>
    <cellStyle name="20% - Accent2 3 11" xfId="480"/>
    <cellStyle name="20% - Accent2 3 11 2" xfId="481"/>
    <cellStyle name="20% - Accent2 3 12" xfId="482"/>
    <cellStyle name="20% - Accent2 3 12 2" xfId="483"/>
    <cellStyle name="20% - Accent2 3 13" xfId="484"/>
    <cellStyle name="20% - Accent2 3 13 2" xfId="485"/>
    <cellStyle name="20% - Accent2 3 14" xfId="486"/>
    <cellStyle name="20% - Accent2 3 14 2" xfId="487"/>
    <cellStyle name="20% - Accent2 3 15" xfId="488"/>
    <cellStyle name="20% - Accent2 3 15 2" xfId="489"/>
    <cellStyle name="20% - Accent2 3 16" xfId="490"/>
    <cellStyle name="20% - Accent2 3 16 2" xfId="491"/>
    <cellStyle name="20% - Accent2 3 17" xfId="492"/>
    <cellStyle name="20% - Accent2 3 17 2" xfId="493"/>
    <cellStyle name="20% - Accent2 3 2" xfId="494"/>
    <cellStyle name="20% - Accent2 3 2 2" xfId="495"/>
    <cellStyle name="20% - Accent2 3 3" xfId="496"/>
    <cellStyle name="20% - Accent2 3 3 2" xfId="497"/>
    <cellStyle name="20% - Accent2 3 4" xfId="498"/>
    <cellStyle name="20% - Accent2 3 4 2" xfId="499"/>
    <cellStyle name="20% - Accent2 3 5" xfId="500"/>
    <cellStyle name="20% - Accent2 3 5 2" xfId="501"/>
    <cellStyle name="20% - Accent2 3 6" xfId="502"/>
    <cellStyle name="20% - Accent2 3 6 2" xfId="503"/>
    <cellStyle name="20% - Accent2 3 7" xfId="504"/>
    <cellStyle name="20% - Accent2 3 7 2" xfId="505"/>
    <cellStyle name="20% - Accent2 3 8" xfId="506"/>
    <cellStyle name="20% - Accent2 3 8 2" xfId="507"/>
    <cellStyle name="20% - Accent2 3 9" xfId="508"/>
    <cellStyle name="20% - Accent2 3 9 2" xfId="509"/>
    <cellStyle name="20% - Accent3 2" xfId="233"/>
    <cellStyle name="20% - Accent3 2 10" xfId="510"/>
    <cellStyle name="20% - Accent3 2 10 2" xfId="511"/>
    <cellStyle name="20% - Accent3 2 11" xfId="512"/>
    <cellStyle name="20% - Accent3 2 11 2" xfId="513"/>
    <cellStyle name="20% - Accent3 2 12" xfId="514"/>
    <cellStyle name="20% - Accent3 2 12 2" xfId="515"/>
    <cellStyle name="20% - Accent3 2 13" xfId="516"/>
    <cellStyle name="20% - Accent3 2 13 2" xfId="517"/>
    <cellStyle name="20% - Accent3 2 14" xfId="518"/>
    <cellStyle name="20% - Accent3 2 14 2" xfId="519"/>
    <cellStyle name="20% - Accent3 2 15" xfId="520"/>
    <cellStyle name="20% - Accent3 2 15 2" xfId="521"/>
    <cellStyle name="20% - Accent3 2 16" xfId="522"/>
    <cellStyle name="20% - Accent3 2 16 2" xfId="523"/>
    <cellStyle name="20% - Accent3 2 17" xfId="524"/>
    <cellStyle name="20% - Accent3 2 17 2" xfId="525"/>
    <cellStyle name="20% - Accent3 2 18" xfId="2436"/>
    <cellStyle name="20% - Accent3 2 18 2" xfId="2824"/>
    <cellStyle name="20% - Accent3 2 19" xfId="2749"/>
    <cellStyle name="20% - Accent3 2 2" xfId="361"/>
    <cellStyle name="20% - Accent3 2 2 2" xfId="527"/>
    <cellStyle name="20% - Accent3 2 2 3" xfId="526"/>
    <cellStyle name="20% - Accent3 2 2 4" xfId="2774"/>
    <cellStyle name="20% - Accent3 2 2 5" xfId="11688"/>
    <cellStyle name="20% - Accent3 2 20" xfId="11689"/>
    <cellStyle name="20% - Accent3 2 3" xfId="528"/>
    <cellStyle name="20% - Accent3 2 3 2" xfId="529"/>
    <cellStyle name="20% - Accent3 2 4" xfId="530"/>
    <cellStyle name="20% - Accent3 2 4 2" xfId="531"/>
    <cellStyle name="20% - Accent3 2 5" xfId="532"/>
    <cellStyle name="20% - Accent3 2 5 2" xfId="533"/>
    <cellStyle name="20% - Accent3 2 6" xfId="534"/>
    <cellStyle name="20% - Accent3 2 6 2" xfId="535"/>
    <cellStyle name="20% - Accent3 2 7" xfId="536"/>
    <cellStyle name="20% - Accent3 2 7 2" xfId="537"/>
    <cellStyle name="20% - Accent3 2 8" xfId="538"/>
    <cellStyle name="20% - Accent3 2 8 2" xfId="539"/>
    <cellStyle name="20% - Accent3 2 9" xfId="540"/>
    <cellStyle name="20% - Accent3 2 9 2" xfId="541"/>
    <cellStyle name="20% - Accent3 3 10" xfId="542"/>
    <cellStyle name="20% - Accent3 3 10 2" xfId="543"/>
    <cellStyle name="20% - Accent3 3 11" xfId="544"/>
    <cellStyle name="20% - Accent3 3 11 2" xfId="545"/>
    <cellStyle name="20% - Accent3 3 12" xfId="546"/>
    <cellStyle name="20% - Accent3 3 12 2" xfId="547"/>
    <cellStyle name="20% - Accent3 3 13" xfId="548"/>
    <cellStyle name="20% - Accent3 3 13 2" xfId="549"/>
    <cellStyle name="20% - Accent3 3 14" xfId="550"/>
    <cellStyle name="20% - Accent3 3 14 2" xfId="551"/>
    <cellStyle name="20% - Accent3 3 15" xfId="552"/>
    <cellStyle name="20% - Accent3 3 15 2" xfId="553"/>
    <cellStyle name="20% - Accent3 3 16" xfId="554"/>
    <cellStyle name="20% - Accent3 3 16 2" xfId="555"/>
    <cellStyle name="20% - Accent3 3 17" xfId="556"/>
    <cellStyle name="20% - Accent3 3 17 2" xfId="557"/>
    <cellStyle name="20% - Accent3 3 2" xfId="558"/>
    <cellStyle name="20% - Accent3 3 2 2" xfId="559"/>
    <cellStyle name="20% - Accent3 3 3" xfId="560"/>
    <cellStyle name="20% - Accent3 3 3 2" xfId="561"/>
    <cellStyle name="20% - Accent3 3 4" xfId="562"/>
    <cellStyle name="20% - Accent3 3 4 2" xfId="563"/>
    <cellStyle name="20% - Accent3 3 5" xfId="564"/>
    <cellStyle name="20% - Accent3 3 5 2" xfId="565"/>
    <cellStyle name="20% - Accent3 3 6" xfId="566"/>
    <cellStyle name="20% - Accent3 3 6 2" xfId="567"/>
    <cellStyle name="20% - Accent3 3 7" xfId="568"/>
    <cellStyle name="20% - Accent3 3 7 2" xfId="569"/>
    <cellStyle name="20% - Accent3 3 8" xfId="570"/>
    <cellStyle name="20% - Accent3 3 8 2" xfId="571"/>
    <cellStyle name="20% - Accent3 3 9" xfId="572"/>
    <cellStyle name="20% - Accent3 3 9 2" xfId="573"/>
    <cellStyle name="20% - Accent4 2" xfId="234"/>
    <cellStyle name="20% - Accent4 2 10" xfId="574"/>
    <cellStyle name="20% - Accent4 2 10 2" xfId="575"/>
    <cellStyle name="20% - Accent4 2 11" xfId="576"/>
    <cellStyle name="20% - Accent4 2 11 2" xfId="577"/>
    <cellStyle name="20% - Accent4 2 12" xfId="578"/>
    <cellStyle name="20% - Accent4 2 12 2" xfId="579"/>
    <cellStyle name="20% - Accent4 2 13" xfId="580"/>
    <cellStyle name="20% - Accent4 2 13 2" xfId="581"/>
    <cellStyle name="20% - Accent4 2 14" xfId="582"/>
    <cellStyle name="20% - Accent4 2 14 2" xfId="583"/>
    <cellStyle name="20% - Accent4 2 15" xfId="584"/>
    <cellStyle name="20% - Accent4 2 15 2" xfId="585"/>
    <cellStyle name="20% - Accent4 2 16" xfId="586"/>
    <cellStyle name="20% - Accent4 2 16 2" xfId="587"/>
    <cellStyle name="20% - Accent4 2 17" xfId="588"/>
    <cellStyle name="20% - Accent4 2 17 2" xfId="589"/>
    <cellStyle name="20% - Accent4 2 18" xfId="2437"/>
    <cellStyle name="20% - Accent4 2 18 2" xfId="2825"/>
    <cellStyle name="20% - Accent4 2 19" xfId="2750"/>
    <cellStyle name="20% - Accent4 2 2" xfId="362"/>
    <cellStyle name="20% - Accent4 2 2 2" xfId="591"/>
    <cellStyle name="20% - Accent4 2 2 3" xfId="590"/>
    <cellStyle name="20% - Accent4 2 2 4" xfId="2775"/>
    <cellStyle name="20% - Accent4 2 2 5" xfId="11690"/>
    <cellStyle name="20% - Accent4 2 20" xfId="11691"/>
    <cellStyle name="20% - Accent4 2 3" xfId="592"/>
    <cellStyle name="20% - Accent4 2 3 2" xfId="593"/>
    <cellStyle name="20% - Accent4 2 4" xfId="594"/>
    <cellStyle name="20% - Accent4 2 4 2" xfId="595"/>
    <cellStyle name="20% - Accent4 2 5" xfId="596"/>
    <cellStyle name="20% - Accent4 2 5 2" xfId="597"/>
    <cellStyle name="20% - Accent4 2 6" xfId="598"/>
    <cellStyle name="20% - Accent4 2 6 2" xfId="599"/>
    <cellStyle name="20% - Accent4 2 7" xfId="600"/>
    <cellStyle name="20% - Accent4 2 7 2" xfId="601"/>
    <cellStyle name="20% - Accent4 2 8" xfId="602"/>
    <cellStyle name="20% - Accent4 2 8 2" xfId="603"/>
    <cellStyle name="20% - Accent4 2 9" xfId="604"/>
    <cellStyle name="20% - Accent4 2 9 2" xfId="605"/>
    <cellStyle name="20% - Accent4 3 10" xfId="606"/>
    <cellStyle name="20% - Accent4 3 10 2" xfId="607"/>
    <cellStyle name="20% - Accent4 3 11" xfId="608"/>
    <cellStyle name="20% - Accent4 3 11 2" xfId="609"/>
    <cellStyle name="20% - Accent4 3 12" xfId="610"/>
    <cellStyle name="20% - Accent4 3 12 2" xfId="611"/>
    <cellStyle name="20% - Accent4 3 13" xfId="612"/>
    <cellStyle name="20% - Accent4 3 13 2" xfId="613"/>
    <cellStyle name="20% - Accent4 3 14" xfId="614"/>
    <cellStyle name="20% - Accent4 3 14 2" xfId="615"/>
    <cellStyle name="20% - Accent4 3 15" xfId="616"/>
    <cellStyle name="20% - Accent4 3 15 2" xfId="617"/>
    <cellStyle name="20% - Accent4 3 16" xfId="618"/>
    <cellStyle name="20% - Accent4 3 16 2" xfId="619"/>
    <cellStyle name="20% - Accent4 3 17" xfId="620"/>
    <cellStyle name="20% - Accent4 3 17 2" xfId="621"/>
    <cellStyle name="20% - Accent4 3 2" xfId="622"/>
    <cellStyle name="20% - Accent4 3 2 2" xfId="623"/>
    <cellStyle name="20% - Accent4 3 3" xfId="624"/>
    <cellStyle name="20% - Accent4 3 3 2" xfId="625"/>
    <cellStyle name="20% - Accent4 3 4" xfId="626"/>
    <cellStyle name="20% - Accent4 3 4 2" xfId="627"/>
    <cellStyle name="20% - Accent4 3 5" xfId="628"/>
    <cellStyle name="20% - Accent4 3 5 2" xfId="629"/>
    <cellStyle name="20% - Accent4 3 6" xfId="630"/>
    <cellStyle name="20% - Accent4 3 6 2" xfId="631"/>
    <cellStyle name="20% - Accent4 3 7" xfId="632"/>
    <cellStyle name="20% - Accent4 3 7 2" xfId="633"/>
    <cellStyle name="20% - Accent4 3 8" xfId="634"/>
    <cellStyle name="20% - Accent4 3 8 2" xfId="635"/>
    <cellStyle name="20% - Accent4 3 9" xfId="636"/>
    <cellStyle name="20% - Accent4 3 9 2" xfId="637"/>
    <cellStyle name="20% - Accent5 2" xfId="235"/>
    <cellStyle name="20% - Accent5 2 10" xfId="638"/>
    <cellStyle name="20% - Accent5 2 10 2" xfId="639"/>
    <cellStyle name="20% - Accent5 2 11" xfId="640"/>
    <cellStyle name="20% - Accent5 2 11 2" xfId="641"/>
    <cellStyle name="20% - Accent5 2 12" xfId="642"/>
    <cellStyle name="20% - Accent5 2 12 2" xfId="643"/>
    <cellStyle name="20% - Accent5 2 13" xfId="644"/>
    <cellStyle name="20% - Accent5 2 13 2" xfId="645"/>
    <cellStyle name="20% - Accent5 2 14" xfId="646"/>
    <cellStyle name="20% - Accent5 2 14 2" xfId="647"/>
    <cellStyle name="20% - Accent5 2 15" xfId="648"/>
    <cellStyle name="20% - Accent5 2 15 2" xfId="649"/>
    <cellStyle name="20% - Accent5 2 16" xfId="650"/>
    <cellStyle name="20% - Accent5 2 16 2" xfId="651"/>
    <cellStyle name="20% - Accent5 2 17" xfId="652"/>
    <cellStyle name="20% - Accent5 2 17 2" xfId="653"/>
    <cellStyle name="20% - Accent5 2 18" xfId="2438"/>
    <cellStyle name="20% - Accent5 2 18 2" xfId="2826"/>
    <cellStyle name="20% - Accent5 2 19" xfId="2751"/>
    <cellStyle name="20% - Accent5 2 2" xfId="363"/>
    <cellStyle name="20% - Accent5 2 2 2" xfId="655"/>
    <cellStyle name="20% - Accent5 2 2 3" xfId="654"/>
    <cellStyle name="20% - Accent5 2 2 4" xfId="2776"/>
    <cellStyle name="20% - Accent5 2 2 5" xfId="11692"/>
    <cellStyle name="20% - Accent5 2 20" xfId="11693"/>
    <cellStyle name="20% - Accent5 2 3" xfId="656"/>
    <cellStyle name="20% - Accent5 2 3 2" xfId="657"/>
    <cellStyle name="20% - Accent5 2 4" xfId="658"/>
    <cellStyle name="20% - Accent5 2 4 2" xfId="659"/>
    <cellStyle name="20% - Accent5 2 5" xfId="660"/>
    <cellStyle name="20% - Accent5 2 5 2" xfId="661"/>
    <cellStyle name="20% - Accent5 2 6" xfId="662"/>
    <cellStyle name="20% - Accent5 2 6 2" xfId="663"/>
    <cellStyle name="20% - Accent5 2 7" xfId="664"/>
    <cellStyle name="20% - Accent5 2 7 2" xfId="665"/>
    <cellStyle name="20% - Accent5 2 8" xfId="666"/>
    <cellStyle name="20% - Accent5 2 8 2" xfId="667"/>
    <cellStyle name="20% - Accent5 2 9" xfId="668"/>
    <cellStyle name="20% - Accent5 2 9 2" xfId="669"/>
    <cellStyle name="20% - Accent5 3 10" xfId="670"/>
    <cellStyle name="20% - Accent5 3 10 2" xfId="671"/>
    <cellStyle name="20% - Accent5 3 11" xfId="672"/>
    <cellStyle name="20% - Accent5 3 11 2" xfId="673"/>
    <cellStyle name="20% - Accent5 3 12" xfId="674"/>
    <cellStyle name="20% - Accent5 3 12 2" xfId="675"/>
    <cellStyle name="20% - Accent5 3 13" xfId="676"/>
    <cellStyle name="20% - Accent5 3 13 2" xfId="677"/>
    <cellStyle name="20% - Accent5 3 14" xfId="678"/>
    <cellStyle name="20% - Accent5 3 14 2" xfId="679"/>
    <cellStyle name="20% - Accent5 3 15" xfId="680"/>
    <cellStyle name="20% - Accent5 3 15 2" xfId="681"/>
    <cellStyle name="20% - Accent5 3 16" xfId="682"/>
    <cellStyle name="20% - Accent5 3 16 2" xfId="683"/>
    <cellStyle name="20% - Accent5 3 17" xfId="684"/>
    <cellStyle name="20% - Accent5 3 17 2" xfId="685"/>
    <cellStyle name="20% - Accent5 3 2" xfId="686"/>
    <cellStyle name="20% - Accent5 3 2 2" xfId="687"/>
    <cellStyle name="20% - Accent5 3 3" xfId="688"/>
    <cellStyle name="20% - Accent5 3 3 2" xfId="689"/>
    <cellStyle name="20% - Accent5 3 4" xfId="690"/>
    <cellStyle name="20% - Accent5 3 4 2" xfId="691"/>
    <cellStyle name="20% - Accent5 3 5" xfId="692"/>
    <cellStyle name="20% - Accent5 3 5 2" xfId="693"/>
    <cellStyle name="20% - Accent5 3 6" xfId="694"/>
    <cellStyle name="20% - Accent5 3 6 2" xfId="695"/>
    <cellStyle name="20% - Accent5 3 7" xfId="696"/>
    <cellStyle name="20% - Accent5 3 7 2" xfId="697"/>
    <cellStyle name="20% - Accent5 3 8" xfId="698"/>
    <cellStyle name="20% - Accent5 3 8 2" xfId="699"/>
    <cellStyle name="20% - Accent5 3 9" xfId="700"/>
    <cellStyle name="20% - Accent5 3 9 2" xfId="701"/>
    <cellStyle name="20% - Accent6 2" xfId="236"/>
    <cellStyle name="20% - Accent6 2 10" xfId="702"/>
    <cellStyle name="20% - Accent6 2 10 2" xfId="703"/>
    <cellStyle name="20% - Accent6 2 11" xfId="704"/>
    <cellStyle name="20% - Accent6 2 11 2" xfId="705"/>
    <cellStyle name="20% - Accent6 2 12" xfId="706"/>
    <cellStyle name="20% - Accent6 2 12 2" xfId="707"/>
    <cellStyle name="20% - Accent6 2 13" xfId="708"/>
    <cellStyle name="20% - Accent6 2 13 2" xfId="709"/>
    <cellStyle name="20% - Accent6 2 14" xfId="710"/>
    <cellStyle name="20% - Accent6 2 14 2" xfId="711"/>
    <cellStyle name="20% - Accent6 2 15" xfId="712"/>
    <cellStyle name="20% - Accent6 2 15 2" xfId="713"/>
    <cellStyle name="20% - Accent6 2 16" xfId="714"/>
    <cellStyle name="20% - Accent6 2 16 2" xfId="715"/>
    <cellStyle name="20% - Accent6 2 17" xfId="716"/>
    <cellStyle name="20% - Accent6 2 17 2" xfId="717"/>
    <cellStyle name="20% - Accent6 2 18" xfId="2439"/>
    <cellStyle name="20% - Accent6 2 18 2" xfId="2827"/>
    <cellStyle name="20% - Accent6 2 19" xfId="2752"/>
    <cellStyle name="20% - Accent6 2 2" xfId="364"/>
    <cellStyle name="20% - Accent6 2 2 2" xfId="719"/>
    <cellStyle name="20% - Accent6 2 2 3" xfId="718"/>
    <cellStyle name="20% - Accent6 2 2 4" xfId="2777"/>
    <cellStyle name="20% - Accent6 2 2 5" xfId="11694"/>
    <cellStyle name="20% - Accent6 2 20" xfId="11695"/>
    <cellStyle name="20% - Accent6 2 3" xfId="720"/>
    <cellStyle name="20% - Accent6 2 3 2" xfId="721"/>
    <cellStyle name="20% - Accent6 2 4" xfId="722"/>
    <cellStyle name="20% - Accent6 2 4 2" xfId="723"/>
    <cellStyle name="20% - Accent6 2 5" xfId="724"/>
    <cellStyle name="20% - Accent6 2 5 2" xfId="725"/>
    <cellStyle name="20% - Accent6 2 6" xfId="726"/>
    <cellStyle name="20% - Accent6 2 6 2" xfId="727"/>
    <cellStyle name="20% - Accent6 2 7" xfId="728"/>
    <cellStyle name="20% - Accent6 2 7 2" xfId="729"/>
    <cellStyle name="20% - Accent6 2 8" xfId="730"/>
    <cellStyle name="20% - Accent6 2 8 2" xfId="731"/>
    <cellStyle name="20% - Accent6 2 9" xfId="732"/>
    <cellStyle name="20% - Accent6 2 9 2" xfId="733"/>
    <cellStyle name="20% - Accent6 3 10" xfId="734"/>
    <cellStyle name="20% - Accent6 3 10 2" xfId="735"/>
    <cellStyle name="20% - Accent6 3 11" xfId="736"/>
    <cellStyle name="20% - Accent6 3 11 2" xfId="737"/>
    <cellStyle name="20% - Accent6 3 12" xfId="738"/>
    <cellStyle name="20% - Accent6 3 12 2" xfId="739"/>
    <cellStyle name="20% - Accent6 3 13" xfId="740"/>
    <cellStyle name="20% - Accent6 3 13 2" xfId="741"/>
    <cellStyle name="20% - Accent6 3 14" xfId="742"/>
    <cellStyle name="20% - Accent6 3 14 2" xfId="743"/>
    <cellStyle name="20% - Accent6 3 15" xfId="744"/>
    <cellStyle name="20% - Accent6 3 15 2" xfId="745"/>
    <cellStyle name="20% - Accent6 3 16" xfId="746"/>
    <cellStyle name="20% - Accent6 3 16 2" xfId="747"/>
    <cellStyle name="20% - Accent6 3 17" xfId="748"/>
    <cellStyle name="20% - Accent6 3 17 2" xfId="749"/>
    <cellStyle name="20% - Accent6 3 2" xfId="750"/>
    <cellStyle name="20% - Accent6 3 2 2" xfId="751"/>
    <cellStyle name="20% - Accent6 3 3" xfId="752"/>
    <cellStyle name="20% - Accent6 3 3 2" xfId="753"/>
    <cellStyle name="20% - Accent6 3 4" xfId="754"/>
    <cellStyle name="20% - Accent6 3 4 2" xfId="755"/>
    <cellStyle name="20% - Accent6 3 5" xfId="756"/>
    <cellStyle name="20% - Accent6 3 5 2" xfId="757"/>
    <cellStyle name="20% - Accent6 3 6" xfId="758"/>
    <cellStyle name="20% - Accent6 3 6 2" xfId="759"/>
    <cellStyle name="20% - Accent6 3 7" xfId="760"/>
    <cellStyle name="20% - Accent6 3 7 2" xfId="761"/>
    <cellStyle name="20% - Accent6 3 8" xfId="762"/>
    <cellStyle name="20% - Accent6 3 8 2" xfId="763"/>
    <cellStyle name="20% - Accent6 3 9" xfId="764"/>
    <cellStyle name="20% - Accent6 3 9 2" xfId="765"/>
    <cellStyle name="20% - Colore 1" xfId="61"/>
    <cellStyle name="20% - Colore 1 10" xfId="62"/>
    <cellStyle name="20% - Colore 1 10 2" xfId="767"/>
    <cellStyle name="20% - Colore 1 10 3" xfId="2440"/>
    <cellStyle name="20% - Colore 1 10 4" xfId="11696"/>
    <cellStyle name="20% - Colore 1 10 4 2" xfId="11697"/>
    <cellStyle name="20% - Colore 1 10 5" xfId="11698"/>
    <cellStyle name="20% - Colore 1 11" xfId="63"/>
    <cellStyle name="20% - Colore 1 11 2" xfId="768"/>
    <cellStyle name="20% - Colore 1 11 3" xfId="2441"/>
    <cellStyle name="20% - Colore 1 11 4" xfId="11699"/>
    <cellStyle name="20% - Colore 1 11 4 2" xfId="11700"/>
    <cellStyle name="20% - Colore 1 11 5" xfId="11701"/>
    <cellStyle name="20% - Colore 1 12" xfId="64"/>
    <cellStyle name="20% - Colore 1 12 2" xfId="769"/>
    <cellStyle name="20% - Colore 1 12 3" xfId="2442"/>
    <cellStyle name="20% - Colore 1 12 4" xfId="11702"/>
    <cellStyle name="20% - Colore 1 12 4 2" xfId="11703"/>
    <cellStyle name="20% - Colore 1 12 5" xfId="11704"/>
    <cellStyle name="20% - Colore 1 13" xfId="65"/>
    <cellStyle name="20% - Colore 1 13 2" xfId="770"/>
    <cellStyle name="20% - Colore 1 13 3" xfId="2443"/>
    <cellStyle name="20% - Colore 1 13 4" xfId="11705"/>
    <cellStyle name="20% - Colore 1 13 4 2" xfId="11706"/>
    <cellStyle name="20% - Colore 1 13 5" xfId="11707"/>
    <cellStyle name="20% - Colore 1 14" xfId="66"/>
    <cellStyle name="20% - Colore 1 14 2" xfId="771"/>
    <cellStyle name="20% - Colore 1 14 3" xfId="2444"/>
    <cellStyle name="20% - Colore 1 14 4" xfId="11708"/>
    <cellStyle name="20% - Colore 1 14 4 2" xfId="11709"/>
    <cellStyle name="20% - Colore 1 14 5" xfId="11710"/>
    <cellStyle name="20% - Colore 1 15" xfId="300"/>
    <cellStyle name="20% - Colore 1 15 2" xfId="772"/>
    <cellStyle name="20% - Colore 1 15 2 2" xfId="2445"/>
    <cellStyle name="20% - Colore 1 15 3" xfId="2446"/>
    <cellStyle name="20% - Colore 1 15 4" xfId="11711"/>
    <cellStyle name="20% - Colore 1 15 4 2" xfId="11712"/>
    <cellStyle name="20% - Colore 1 15 5" xfId="11713"/>
    <cellStyle name="20% - Colore 1 16" xfId="773"/>
    <cellStyle name="20% - Colore 1 16 2" xfId="2447"/>
    <cellStyle name="20% - Colore 1 17" xfId="766"/>
    <cellStyle name="20% - Colore 1 18" xfId="2448"/>
    <cellStyle name="20% - Colore 1 19" xfId="2449"/>
    <cellStyle name="20% - Colore 1 2" xfId="67"/>
    <cellStyle name="20% - Colore 1 2 2" xfId="774"/>
    <cellStyle name="20% - Colore 1 2 3" xfId="2450"/>
    <cellStyle name="20% - Colore 1 2 4" xfId="11714"/>
    <cellStyle name="20% - Colore 1 2 4 2" xfId="11715"/>
    <cellStyle name="20% - Colore 1 2 5" xfId="11716"/>
    <cellStyle name="20% - Colore 1 20" xfId="11717"/>
    <cellStyle name="20% - Colore 1 20 2" xfId="11718"/>
    <cellStyle name="20% - Colore 1 21" xfId="11719"/>
    <cellStyle name="20% - Colore 1 3" xfId="68"/>
    <cellStyle name="20% - Colore 1 3 2" xfId="775"/>
    <cellStyle name="20% - Colore 1 3 3" xfId="2451"/>
    <cellStyle name="20% - Colore 1 3 4" xfId="11720"/>
    <cellStyle name="20% - Colore 1 3 4 2" xfId="11721"/>
    <cellStyle name="20% - Colore 1 3 5" xfId="11722"/>
    <cellStyle name="20% - Colore 1 4" xfId="69"/>
    <cellStyle name="20% - Colore 1 4 2" xfId="776"/>
    <cellStyle name="20% - Colore 1 4 3" xfId="2452"/>
    <cellStyle name="20% - Colore 1 4 4" xfId="11723"/>
    <cellStyle name="20% - Colore 1 4 4 2" xfId="11724"/>
    <cellStyle name="20% - Colore 1 4 5" xfId="11725"/>
    <cellStyle name="20% - Colore 1 5" xfId="70"/>
    <cellStyle name="20% - Colore 1 5 2" xfId="777"/>
    <cellStyle name="20% - Colore 1 5 3" xfId="2453"/>
    <cellStyle name="20% - Colore 1 5 4" xfId="11726"/>
    <cellStyle name="20% - Colore 1 5 4 2" xfId="11727"/>
    <cellStyle name="20% - Colore 1 5 5" xfId="11728"/>
    <cellStyle name="20% - Colore 1 6" xfId="71"/>
    <cellStyle name="20% - Colore 1 6 2" xfId="778"/>
    <cellStyle name="20% - Colore 1 6 3" xfId="2454"/>
    <cellStyle name="20% - Colore 1 6 4" xfId="11729"/>
    <cellStyle name="20% - Colore 1 6 4 2" xfId="11730"/>
    <cellStyle name="20% - Colore 1 6 5" xfId="11731"/>
    <cellStyle name="20% - Colore 1 7" xfId="72"/>
    <cellStyle name="20% - Colore 1 7 2" xfId="779"/>
    <cellStyle name="20% - Colore 1 7 3" xfId="2455"/>
    <cellStyle name="20% - Colore 1 7 4" xfId="11732"/>
    <cellStyle name="20% - Colore 1 7 4 2" xfId="11733"/>
    <cellStyle name="20% - Colore 1 7 5" xfId="11734"/>
    <cellStyle name="20% - Colore 1 8" xfId="73"/>
    <cellStyle name="20% - Colore 1 8 2" xfId="780"/>
    <cellStyle name="20% - Colore 1 8 3" xfId="2456"/>
    <cellStyle name="20% - Colore 1 8 4" xfId="11735"/>
    <cellStyle name="20% - Colore 1 8 4 2" xfId="11736"/>
    <cellStyle name="20% - Colore 1 8 5" xfId="11737"/>
    <cellStyle name="20% - Colore 1 9" xfId="74"/>
    <cellStyle name="20% - Colore 1 9 2" xfId="781"/>
    <cellStyle name="20% - Colore 1 9 3" xfId="2457"/>
    <cellStyle name="20% - Colore 1 9 4" xfId="11738"/>
    <cellStyle name="20% - Colore 1 9 4 2" xfId="11739"/>
    <cellStyle name="20% - Colore 1 9 5" xfId="11740"/>
    <cellStyle name="20% - Colore 2" xfId="75"/>
    <cellStyle name="20% - Colore 2 10" xfId="76"/>
    <cellStyle name="20% - Colore 2 10 2" xfId="783"/>
    <cellStyle name="20% - Colore 2 10 3" xfId="2458"/>
    <cellStyle name="20% - Colore 2 10 4" xfId="11741"/>
    <cellStyle name="20% - Colore 2 10 4 2" xfId="11742"/>
    <cellStyle name="20% - Colore 2 10 5" xfId="11743"/>
    <cellStyle name="20% - Colore 2 11" xfId="77"/>
    <cellStyle name="20% - Colore 2 11 2" xfId="784"/>
    <cellStyle name="20% - Colore 2 11 3" xfId="2459"/>
    <cellStyle name="20% - Colore 2 11 4" xfId="11744"/>
    <cellStyle name="20% - Colore 2 11 4 2" xfId="11745"/>
    <cellStyle name="20% - Colore 2 11 5" xfId="11746"/>
    <cellStyle name="20% - Colore 2 12" xfId="78"/>
    <cellStyle name="20% - Colore 2 12 2" xfId="785"/>
    <cellStyle name="20% - Colore 2 12 3" xfId="2460"/>
    <cellStyle name="20% - Colore 2 12 4" xfId="11747"/>
    <cellStyle name="20% - Colore 2 12 4 2" xfId="11748"/>
    <cellStyle name="20% - Colore 2 12 5" xfId="11749"/>
    <cellStyle name="20% - Colore 2 13" xfId="79"/>
    <cellStyle name="20% - Colore 2 13 2" xfId="786"/>
    <cellStyle name="20% - Colore 2 13 3" xfId="2461"/>
    <cellStyle name="20% - Colore 2 13 4" xfId="11750"/>
    <cellStyle name="20% - Colore 2 13 4 2" xfId="11751"/>
    <cellStyle name="20% - Colore 2 13 5" xfId="11752"/>
    <cellStyle name="20% - Colore 2 14" xfId="80"/>
    <cellStyle name="20% - Colore 2 14 2" xfId="787"/>
    <cellStyle name="20% - Colore 2 14 3" xfId="2462"/>
    <cellStyle name="20% - Colore 2 14 4" xfId="11753"/>
    <cellStyle name="20% - Colore 2 14 4 2" xfId="11754"/>
    <cellStyle name="20% - Colore 2 14 5" xfId="11755"/>
    <cellStyle name="20% - Colore 2 15" xfId="301"/>
    <cellStyle name="20% - Colore 2 15 2" xfId="788"/>
    <cellStyle name="20% - Colore 2 15 2 2" xfId="2463"/>
    <cellStyle name="20% - Colore 2 15 3" xfId="2464"/>
    <cellStyle name="20% - Colore 2 15 4" xfId="11756"/>
    <cellStyle name="20% - Colore 2 15 4 2" xfId="11757"/>
    <cellStyle name="20% - Colore 2 15 5" xfId="11758"/>
    <cellStyle name="20% - Colore 2 16" xfId="789"/>
    <cellStyle name="20% - Colore 2 16 2" xfId="2465"/>
    <cellStyle name="20% - Colore 2 17" xfId="782"/>
    <cellStyle name="20% - Colore 2 18" xfId="2466"/>
    <cellStyle name="20% - Colore 2 19" xfId="2467"/>
    <cellStyle name="20% - Colore 2 2" xfId="81"/>
    <cellStyle name="20% - Colore 2 2 2" xfId="790"/>
    <cellStyle name="20% - Colore 2 2 3" xfId="2468"/>
    <cellStyle name="20% - Colore 2 2 4" xfId="11759"/>
    <cellStyle name="20% - Colore 2 2 4 2" xfId="11760"/>
    <cellStyle name="20% - Colore 2 2 5" xfId="11761"/>
    <cellStyle name="20% - Colore 2 20" xfId="11762"/>
    <cellStyle name="20% - Colore 2 20 2" xfId="11763"/>
    <cellStyle name="20% - Colore 2 21" xfId="11764"/>
    <cellStyle name="20% - Colore 2 3" xfId="82"/>
    <cellStyle name="20% - Colore 2 3 2" xfId="791"/>
    <cellStyle name="20% - Colore 2 3 3" xfId="2469"/>
    <cellStyle name="20% - Colore 2 3 4" xfId="11765"/>
    <cellStyle name="20% - Colore 2 3 4 2" xfId="11766"/>
    <cellStyle name="20% - Colore 2 3 5" xfId="11767"/>
    <cellStyle name="20% - Colore 2 4" xfId="83"/>
    <cellStyle name="20% - Colore 2 4 2" xfId="792"/>
    <cellStyle name="20% - Colore 2 4 3" xfId="2470"/>
    <cellStyle name="20% - Colore 2 4 4" xfId="11768"/>
    <cellStyle name="20% - Colore 2 4 4 2" xfId="11769"/>
    <cellStyle name="20% - Colore 2 4 5" xfId="11770"/>
    <cellStyle name="20% - Colore 2 5" xfId="84"/>
    <cellStyle name="20% - Colore 2 5 2" xfId="793"/>
    <cellStyle name="20% - Colore 2 5 3" xfId="2471"/>
    <cellStyle name="20% - Colore 2 5 4" xfId="11771"/>
    <cellStyle name="20% - Colore 2 5 4 2" xfId="11772"/>
    <cellStyle name="20% - Colore 2 5 5" xfId="11773"/>
    <cellStyle name="20% - Colore 2 6" xfId="85"/>
    <cellStyle name="20% - Colore 2 6 2" xfId="794"/>
    <cellStyle name="20% - Colore 2 6 3" xfId="2472"/>
    <cellStyle name="20% - Colore 2 6 4" xfId="11774"/>
    <cellStyle name="20% - Colore 2 6 4 2" xfId="11775"/>
    <cellStyle name="20% - Colore 2 6 5" xfId="11776"/>
    <cellStyle name="20% - Colore 2 7" xfId="86"/>
    <cellStyle name="20% - Colore 2 7 2" xfId="795"/>
    <cellStyle name="20% - Colore 2 7 3" xfId="2473"/>
    <cellStyle name="20% - Colore 2 7 4" xfId="11777"/>
    <cellStyle name="20% - Colore 2 7 4 2" xfId="11778"/>
    <cellStyle name="20% - Colore 2 7 5" xfId="11779"/>
    <cellStyle name="20% - Colore 2 8" xfId="87"/>
    <cellStyle name="20% - Colore 2 8 2" xfId="796"/>
    <cellStyle name="20% - Colore 2 8 3" xfId="2474"/>
    <cellStyle name="20% - Colore 2 8 4" xfId="11780"/>
    <cellStyle name="20% - Colore 2 8 4 2" xfId="11781"/>
    <cellStyle name="20% - Colore 2 8 5" xfId="11782"/>
    <cellStyle name="20% - Colore 2 9" xfId="88"/>
    <cellStyle name="20% - Colore 2 9 2" xfId="797"/>
    <cellStyle name="20% - Colore 2 9 3" xfId="2475"/>
    <cellStyle name="20% - Colore 2 9 4" xfId="11783"/>
    <cellStyle name="20% - Colore 2 9 4 2" xfId="11784"/>
    <cellStyle name="20% - Colore 2 9 5" xfId="11785"/>
    <cellStyle name="20% - Colore 3" xfId="89"/>
    <cellStyle name="20% - Colore 3 10" xfId="90"/>
    <cellStyle name="20% - Colore 3 10 2" xfId="799"/>
    <cellStyle name="20% - Colore 3 10 3" xfId="2476"/>
    <cellStyle name="20% - Colore 3 10 4" xfId="11786"/>
    <cellStyle name="20% - Colore 3 10 4 2" xfId="11787"/>
    <cellStyle name="20% - Colore 3 10 5" xfId="11788"/>
    <cellStyle name="20% - Colore 3 11" xfId="91"/>
    <cellStyle name="20% - Colore 3 11 2" xfId="800"/>
    <cellStyle name="20% - Colore 3 11 3" xfId="2477"/>
    <cellStyle name="20% - Colore 3 11 4" xfId="11789"/>
    <cellStyle name="20% - Colore 3 11 4 2" xfId="11790"/>
    <cellStyle name="20% - Colore 3 11 5" xfId="11791"/>
    <cellStyle name="20% - Colore 3 12" xfId="92"/>
    <cellStyle name="20% - Colore 3 12 2" xfId="801"/>
    <cellStyle name="20% - Colore 3 12 3" xfId="2478"/>
    <cellStyle name="20% - Colore 3 12 4" xfId="11792"/>
    <cellStyle name="20% - Colore 3 12 4 2" xfId="11793"/>
    <cellStyle name="20% - Colore 3 12 5" xfId="11794"/>
    <cellStyle name="20% - Colore 3 13" xfId="93"/>
    <cellStyle name="20% - Colore 3 13 2" xfId="802"/>
    <cellStyle name="20% - Colore 3 13 3" xfId="2479"/>
    <cellStyle name="20% - Colore 3 13 4" xfId="11795"/>
    <cellStyle name="20% - Colore 3 13 4 2" xfId="11796"/>
    <cellStyle name="20% - Colore 3 13 5" xfId="11797"/>
    <cellStyle name="20% - Colore 3 14" xfId="94"/>
    <cellStyle name="20% - Colore 3 14 2" xfId="803"/>
    <cellStyle name="20% - Colore 3 14 3" xfId="2480"/>
    <cellStyle name="20% - Colore 3 14 4" xfId="11798"/>
    <cellStyle name="20% - Colore 3 14 4 2" xfId="11799"/>
    <cellStyle name="20% - Colore 3 14 5" xfId="11800"/>
    <cellStyle name="20% - Colore 3 15" xfId="302"/>
    <cellStyle name="20% - Colore 3 15 2" xfId="804"/>
    <cellStyle name="20% - Colore 3 15 2 2" xfId="2481"/>
    <cellStyle name="20% - Colore 3 15 3" xfId="2482"/>
    <cellStyle name="20% - Colore 3 15 4" xfId="11801"/>
    <cellStyle name="20% - Colore 3 15 4 2" xfId="11802"/>
    <cellStyle name="20% - Colore 3 15 5" xfId="11803"/>
    <cellStyle name="20% - Colore 3 16" xfId="805"/>
    <cellStyle name="20% - Colore 3 16 2" xfId="2483"/>
    <cellStyle name="20% - Colore 3 17" xfId="798"/>
    <cellStyle name="20% - Colore 3 18" xfId="2484"/>
    <cellStyle name="20% - Colore 3 19" xfId="2485"/>
    <cellStyle name="20% - Colore 3 2" xfId="95"/>
    <cellStyle name="20% - Colore 3 2 2" xfId="806"/>
    <cellStyle name="20% - Colore 3 2 3" xfId="2486"/>
    <cellStyle name="20% - Colore 3 2 4" xfId="11804"/>
    <cellStyle name="20% - Colore 3 2 4 2" xfId="11805"/>
    <cellStyle name="20% - Colore 3 2 5" xfId="11806"/>
    <cellStyle name="20% - Colore 3 20" xfId="11807"/>
    <cellStyle name="20% - Colore 3 20 2" xfId="11808"/>
    <cellStyle name="20% - Colore 3 21" xfId="11809"/>
    <cellStyle name="20% - Colore 3 3" xfId="96"/>
    <cellStyle name="20% - Colore 3 3 2" xfId="807"/>
    <cellStyle name="20% - Colore 3 3 3" xfId="2487"/>
    <cellStyle name="20% - Colore 3 3 4" xfId="11810"/>
    <cellStyle name="20% - Colore 3 3 4 2" xfId="11811"/>
    <cellStyle name="20% - Colore 3 3 5" xfId="11812"/>
    <cellStyle name="20% - Colore 3 4" xfId="97"/>
    <cellStyle name="20% - Colore 3 4 2" xfId="808"/>
    <cellStyle name="20% - Colore 3 4 3" xfId="2488"/>
    <cellStyle name="20% - Colore 3 4 4" xfId="11813"/>
    <cellStyle name="20% - Colore 3 4 4 2" xfId="11814"/>
    <cellStyle name="20% - Colore 3 4 5" xfId="11815"/>
    <cellStyle name="20% - Colore 3 5" xfId="98"/>
    <cellStyle name="20% - Colore 3 5 2" xfId="809"/>
    <cellStyle name="20% - Colore 3 5 3" xfId="2489"/>
    <cellStyle name="20% - Colore 3 5 4" xfId="11816"/>
    <cellStyle name="20% - Colore 3 5 4 2" xfId="11817"/>
    <cellStyle name="20% - Colore 3 5 5" xfId="11818"/>
    <cellStyle name="20% - Colore 3 6" xfId="99"/>
    <cellStyle name="20% - Colore 3 6 2" xfId="810"/>
    <cellStyle name="20% - Colore 3 6 3" xfId="2490"/>
    <cellStyle name="20% - Colore 3 6 4" xfId="11819"/>
    <cellStyle name="20% - Colore 3 6 4 2" xfId="11820"/>
    <cellStyle name="20% - Colore 3 6 5" xfId="11821"/>
    <cellStyle name="20% - Colore 3 7" xfId="100"/>
    <cellStyle name="20% - Colore 3 7 2" xfId="811"/>
    <cellStyle name="20% - Colore 3 7 3" xfId="2491"/>
    <cellStyle name="20% - Colore 3 7 4" xfId="11822"/>
    <cellStyle name="20% - Colore 3 7 4 2" xfId="11823"/>
    <cellStyle name="20% - Colore 3 7 5" xfId="11824"/>
    <cellStyle name="20% - Colore 3 8" xfId="101"/>
    <cellStyle name="20% - Colore 3 8 2" xfId="812"/>
    <cellStyle name="20% - Colore 3 8 3" xfId="2492"/>
    <cellStyle name="20% - Colore 3 8 4" xfId="11825"/>
    <cellStyle name="20% - Colore 3 8 4 2" xfId="11826"/>
    <cellStyle name="20% - Colore 3 8 5" xfId="11827"/>
    <cellStyle name="20% - Colore 3 9" xfId="102"/>
    <cellStyle name="20% - Colore 3 9 2" xfId="813"/>
    <cellStyle name="20% - Colore 3 9 3" xfId="2493"/>
    <cellStyle name="20% - Colore 3 9 4" xfId="11828"/>
    <cellStyle name="20% - Colore 3 9 4 2" xfId="11829"/>
    <cellStyle name="20% - Colore 3 9 5" xfId="11830"/>
    <cellStyle name="20% - Colore 4" xfId="103"/>
    <cellStyle name="20% - Colore 4 10" xfId="104"/>
    <cellStyle name="20% - Colore 4 10 2" xfId="815"/>
    <cellStyle name="20% - Colore 4 10 3" xfId="2494"/>
    <cellStyle name="20% - Colore 4 10 4" xfId="11831"/>
    <cellStyle name="20% - Colore 4 10 4 2" xfId="11832"/>
    <cellStyle name="20% - Colore 4 10 5" xfId="11833"/>
    <cellStyle name="20% - Colore 4 11" xfId="105"/>
    <cellStyle name="20% - Colore 4 11 2" xfId="816"/>
    <cellStyle name="20% - Colore 4 11 3" xfId="2495"/>
    <cellStyle name="20% - Colore 4 11 4" xfId="11834"/>
    <cellStyle name="20% - Colore 4 11 4 2" xfId="11835"/>
    <cellStyle name="20% - Colore 4 11 5" xfId="11836"/>
    <cellStyle name="20% - Colore 4 12" xfId="106"/>
    <cellStyle name="20% - Colore 4 12 2" xfId="817"/>
    <cellStyle name="20% - Colore 4 12 3" xfId="2496"/>
    <cellStyle name="20% - Colore 4 12 4" xfId="11837"/>
    <cellStyle name="20% - Colore 4 12 4 2" xfId="11838"/>
    <cellStyle name="20% - Colore 4 12 5" xfId="11839"/>
    <cellStyle name="20% - Colore 4 13" xfId="107"/>
    <cellStyle name="20% - Colore 4 13 2" xfId="818"/>
    <cellStyle name="20% - Colore 4 13 3" xfId="2497"/>
    <cellStyle name="20% - Colore 4 13 4" xfId="11840"/>
    <cellStyle name="20% - Colore 4 13 4 2" xfId="11841"/>
    <cellStyle name="20% - Colore 4 13 5" xfId="11842"/>
    <cellStyle name="20% - Colore 4 14" xfId="108"/>
    <cellStyle name="20% - Colore 4 14 2" xfId="819"/>
    <cellStyle name="20% - Colore 4 14 3" xfId="2498"/>
    <cellStyle name="20% - Colore 4 14 4" xfId="11843"/>
    <cellStyle name="20% - Colore 4 14 4 2" xfId="11844"/>
    <cellStyle name="20% - Colore 4 14 5" xfId="11845"/>
    <cellStyle name="20% - Colore 4 15" xfId="303"/>
    <cellStyle name="20% - Colore 4 15 2" xfId="820"/>
    <cellStyle name="20% - Colore 4 15 2 2" xfId="2499"/>
    <cellStyle name="20% - Colore 4 15 3" xfId="2500"/>
    <cellStyle name="20% - Colore 4 15 4" xfId="11846"/>
    <cellStyle name="20% - Colore 4 15 4 2" xfId="11847"/>
    <cellStyle name="20% - Colore 4 15 5" xfId="11848"/>
    <cellStyle name="20% - Colore 4 16" xfId="821"/>
    <cellStyle name="20% - Colore 4 16 2" xfId="2501"/>
    <cellStyle name="20% - Colore 4 17" xfId="814"/>
    <cellStyle name="20% - Colore 4 18" xfId="2502"/>
    <cellStyle name="20% - Colore 4 19" xfId="2503"/>
    <cellStyle name="20% - Colore 4 2" xfId="109"/>
    <cellStyle name="20% - Colore 4 2 2" xfId="822"/>
    <cellStyle name="20% - Colore 4 2 3" xfId="2504"/>
    <cellStyle name="20% - Colore 4 2 4" xfId="11849"/>
    <cellStyle name="20% - Colore 4 2 4 2" xfId="11850"/>
    <cellStyle name="20% - Colore 4 2 5" xfId="11851"/>
    <cellStyle name="20% - Colore 4 20" xfId="11852"/>
    <cellStyle name="20% - Colore 4 20 2" xfId="11853"/>
    <cellStyle name="20% - Colore 4 21" xfId="11854"/>
    <cellStyle name="20% - Colore 4 3" xfId="110"/>
    <cellStyle name="20% - Colore 4 3 2" xfId="823"/>
    <cellStyle name="20% - Colore 4 3 3" xfId="2505"/>
    <cellStyle name="20% - Colore 4 3 4" xfId="11855"/>
    <cellStyle name="20% - Colore 4 3 4 2" xfId="11856"/>
    <cellStyle name="20% - Colore 4 3 5" xfId="11857"/>
    <cellStyle name="20% - Colore 4 4" xfId="111"/>
    <cellStyle name="20% - Colore 4 4 2" xfId="824"/>
    <cellStyle name="20% - Colore 4 4 3" xfId="2506"/>
    <cellStyle name="20% - Colore 4 4 4" xfId="11858"/>
    <cellStyle name="20% - Colore 4 4 4 2" xfId="11859"/>
    <cellStyle name="20% - Colore 4 4 5" xfId="11860"/>
    <cellStyle name="20% - Colore 4 5" xfId="112"/>
    <cellStyle name="20% - Colore 4 5 2" xfId="825"/>
    <cellStyle name="20% - Colore 4 5 3" xfId="2507"/>
    <cellStyle name="20% - Colore 4 5 4" xfId="11861"/>
    <cellStyle name="20% - Colore 4 5 4 2" xfId="11862"/>
    <cellStyle name="20% - Colore 4 5 5" xfId="11863"/>
    <cellStyle name="20% - Colore 4 6" xfId="113"/>
    <cellStyle name="20% - Colore 4 6 2" xfId="826"/>
    <cellStyle name="20% - Colore 4 6 3" xfId="2508"/>
    <cellStyle name="20% - Colore 4 6 4" xfId="11864"/>
    <cellStyle name="20% - Colore 4 6 4 2" xfId="11865"/>
    <cellStyle name="20% - Colore 4 6 5" xfId="11866"/>
    <cellStyle name="20% - Colore 4 7" xfId="114"/>
    <cellStyle name="20% - Colore 4 7 2" xfId="827"/>
    <cellStyle name="20% - Colore 4 7 3" xfId="2509"/>
    <cellStyle name="20% - Colore 4 7 4" xfId="11867"/>
    <cellStyle name="20% - Colore 4 7 4 2" xfId="11868"/>
    <cellStyle name="20% - Colore 4 7 5" xfId="11869"/>
    <cellStyle name="20% - Colore 4 8" xfId="115"/>
    <cellStyle name="20% - Colore 4 8 2" xfId="828"/>
    <cellStyle name="20% - Colore 4 8 3" xfId="2510"/>
    <cellStyle name="20% - Colore 4 8 4" xfId="11870"/>
    <cellStyle name="20% - Colore 4 8 4 2" xfId="11871"/>
    <cellStyle name="20% - Colore 4 8 5" xfId="11872"/>
    <cellStyle name="20% - Colore 4 9" xfId="116"/>
    <cellStyle name="20% - Colore 4 9 2" xfId="829"/>
    <cellStyle name="20% - Colore 4 9 3" xfId="2511"/>
    <cellStyle name="20% - Colore 4 9 4" xfId="11873"/>
    <cellStyle name="20% - Colore 4 9 4 2" xfId="11874"/>
    <cellStyle name="20% - Colore 4 9 5" xfId="11875"/>
    <cellStyle name="20% - Colore 5" xfId="117"/>
    <cellStyle name="20% - Colore 5 2" xfId="118"/>
    <cellStyle name="20% - Colore 5 2 2" xfId="831"/>
    <cellStyle name="20% - Colore 5 2 3" xfId="2512"/>
    <cellStyle name="20% - Colore 5 2 4" xfId="11876"/>
    <cellStyle name="20% - Colore 5 2 4 2" xfId="11877"/>
    <cellStyle name="20% - Colore 5 2 5" xfId="11878"/>
    <cellStyle name="20% - Colore 5 3" xfId="304"/>
    <cellStyle name="20% - Colore 5 3 2" xfId="832"/>
    <cellStyle name="20% - Colore 5 3 2 2" xfId="2513"/>
    <cellStyle name="20% - Colore 5 3 3" xfId="2514"/>
    <cellStyle name="20% - Colore 5 3 4" xfId="11879"/>
    <cellStyle name="20% - Colore 5 3 4 2" xfId="11880"/>
    <cellStyle name="20% - Colore 5 3 5" xfId="11881"/>
    <cellStyle name="20% - Colore 5 4" xfId="833"/>
    <cellStyle name="20% - Colore 5 4 2" xfId="2515"/>
    <cellStyle name="20% - Colore 5 5" xfId="830"/>
    <cellStyle name="20% - Colore 5 6" xfId="2516"/>
    <cellStyle name="20% - Colore 5 7" xfId="2517"/>
    <cellStyle name="20% - Colore 5 8" xfId="11882"/>
    <cellStyle name="20% - Colore 5 8 2" xfId="11883"/>
    <cellStyle name="20% - Colore 5 9" xfId="11884"/>
    <cellStyle name="20% - Colore 6" xfId="119"/>
    <cellStyle name="20% - Colore 6 2" xfId="120"/>
    <cellStyle name="20% - Colore 6 2 2" xfId="835"/>
    <cellStyle name="20% - Colore 6 2 3" xfId="2518"/>
    <cellStyle name="20% - Colore 6 2 4" xfId="11885"/>
    <cellStyle name="20% - Colore 6 2 4 2" xfId="11886"/>
    <cellStyle name="20% - Colore 6 2 5" xfId="11887"/>
    <cellStyle name="20% - Colore 6 3" xfId="305"/>
    <cellStyle name="20% - Colore 6 3 2" xfId="836"/>
    <cellStyle name="20% - Colore 6 3 2 2" xfId="2519"/>
    <cellStyle name="20% - Colore 6 3 3" xfId="2520"/>
    <cellStyle name="20% - Colore 6 3 4" xfId="11888"/>
    <cellStyle name="20% - Colore 6 3 4 2" xfId="11889"/>
    <cellStyle name="20% - Colore 6 3 5" xfId="11890"/>
    <cellStyle name="20% - Colore 6 4" xfId="837"/>
    <cellStyle name="20% - Colore 6 4 2" xfId="2521"/>
    <cellStyle name="20% - Colore 6 5" xfId="834"/>
    <cellStyle name="20% - Colore 6 6" xfId="2522"/>
    <cellStyle name="20% - Colore 6 7" xfId="2523"/>
    <cellStyle name="20% - Colore 6 8" xfId="11891"/>
    <cellStyle name="20% - Colore 6 8 2" xfId="11892"/>
    <cellStyle name="20% - Colore 6 9" xfId="11893"/>
    <cellStyle name="40% - Accent1 2" xfId="237"/>
    <cellStyle name="40% - Accent1 2 10" xfId="838"/>
    <cellStyle name="40% - Accent1 2 10 2" xfId="839"/>
    <cellStyle name="40% - Accent1 2 11" xfId="840"/>
    <cellStyle name="40% - Accent1 2 11 2" xfId="841"/>
    <cellStyle name="40% - Accent1 2 12" xfId="842"/>
    <cellStyle name="40% - Accent1 2 12 2" xfId="843"/>
    <cellStyle name="40% - Accent1 2 13" xfId="844"/>
    <cellStyle name="40% - Accent1 2 13 2" xfId="845"/>
    <cellStyle name="40% - Accent1 2 14" xfId="846"/>
    <cellStyle name="40% - Accent1 2 14 2" xfId="847"/>
    <cellStyle name="40% - Accent1 2 15" xfId="848"/>
    <cellStyle name="40% - Accent1 2 15 2" xfId="849"/>
    <cellStyle name="40% - Accent1 2 16" xfId="850"/>
    <cellStyle name="40% - Accent1 2 16 2" xfId="851"/>
    <cellStyle name="40% - Accent1 2 17" xfId="852"/>
    <cellStyle name="40% - Accent1 2 17 2" xfId="853"/>
    <cellStyle name="40% - Accent1 2 18" xfId="2524"/>
    <cellStyle name="40% - Accent1 2 18 2" xfId="2828"/>
    <cellStyle name="40% - Accent1 2 19" xfId="2753"/>
    <cellStyle name="40% - Accent1 2 2" xfId="365"/>
    <cellStyle name="40% - Accent1 2 2 2" xfId="855"/>
    <cellStyle name="40% - Accent1 2 2 3" xfId="854"/>
    <cellStyle name="40% - Accent1 2 2 4" xfId="2778"/>
    <cellStyle name="40% - Accent1 2 2 5" xfId="11894"/>
    <cellStyle name="40% - Accent1 2 20" xfId="11895"/>
    <cellStyle name="40% - Accent1 2 3" xfId="856"/>
    <cellStyle name="40% - Accent1 2 3 2" xfId="857"/>
    <cellStyle name="40% - Accent1 2 4" xfId="858"/>
    <cellStyle name="40% - Accent1 2 4 2" xfId="859"/>
    <cellStyle name="40% - Accent1 2 5" xfId="860"/>
    <cellStyle name="40% - Accent1 2 5 2" xfId="861"/>
    <cellStyle name="40% - Accent1 2 6" xfId="862"/>
    <cellStyle name="40% - Accent1 2 6 2" xfId="863"/>
    <cellStyle name="40% - Accent1 2 7" xfId="864"/>
    <cellStyle name="40% - Accent1 2 7 2" xfId="865"/>
    <cellStyle name="40% - Accent1 2 8" xfId="866"/>
    <cellStyle name="40% - Accent1 2 8 2" xfId="867"/>
    <cellStyle name="40% - Accent1 2 9" xfId="868"/>
    <cellStyle name="40% - Accent1 2 9 2" xfId="869"/>
    <cellStyle name="40% - Accent1 3 10" xfId="870"/>
    <cellStyle name="40% - Accent1 3 10 2" xfId="871"/>
    <cellStyle name="40% - Accent1 3 11" xfId="872"/>
    <cellStyle name="40% - Accent1 3 11 2" xfId="873"/>
    <cellStyle name="40% - Accent1 3 12" xfId="874"/>
    <cellStyle name="40% - Accent1 3 12 2" xfId="875"/>
    <cellStyle name="40% - Accent1 3 13" xfId="876"/>
    <cellStyle name="40% - Accent1 3 13 2" xfId="877"/>
    <cellStyle name="40% - Accent1 3 14" xfId="878"/>
    <cellStyle name="40% - Accent1 3 14 2" xfId="879"/>
    <cellStyle name="40% - Accent1 3 15" xfId="880"/>
    <cellStyle name="40% - Accent1 3 15 2" xfId="881"/>
    <cellStyle name="40% - Accent1 3 16" xfId="882"/>
    <cellStyle name="40% - Accent1 3 16 2" xfId="883"/>
    <cellStyle name="40% - Accent1 3 17" xfId="884"/>
    <cellStyle name="40% - Accent1 3 17 2" xfId="885"/>
    <cellStyle name="40% - Accent1 3 2" xfId="886"/>
    <cellStyle name="40% - Accent1 3 2 2" xfId="887"/>
    <cellStyle name="40% - Accent1 3 3" xfId="888"/>
    <cellStyle name="40% - Accent1 3 3 2" xfId="889"/>
    <cellStyle name="40% - Accent1 3 4" xfId="890"/>
    <cellStyle name="40% - Accent1 3 4 2" xfId="891"/>
    <cellStyle name="40% - Accent1 3 5" xfId="892"/>
    <cellStyle name="40% - Accent1 3 5 2" xfId="893"/>
    <cellStyle name="40% - Accent1 3 6" xfId="894"/>
    <cellStyle name="40% - Accent1 3 6 2" xfId="895"/>
    <cellStyle name="40% - Accent1 3 7" xfId="896"/>
    <cellStyle name="40% - Accent1 3 7 2" xfId="897"/>
    <cellStyle name="40% - Accent1 3 8" xfId="898"/>
    <cellStyle name="40% - Accent1 3 8 2" xfId="899"/>
    <cellStyle name="40% - Accent1 3 9" xfId="900"/>
    <cellStyle name="40% - Accent1 3 9 2" xfId="901"/>
    <cellStyle name="40% - Accent2 2" xfId="238"/>
    <cellStyle name="40% - Accent2 2 10" xfId="902"/>
    <cellStyle name="40% - Accent2 2 10 2" xfId="903"/>
    <cellStyle name="40% - Accent2 2 11" xfId="904"/>
    <cellStyle name="40% - Accent2 2 11 2" xfId="905"/>
    <cellStyle name="40% - Accent2 2 12" xfId="906"/>
    <cellStyle name="40% - Accent2 2 12 2" xfId="907"/>
    <cellStyle name="40% - Accent2 2 13" xfId="908"/>
    <cellStyle name="40% - Accent2 2 13 2" xfId="909"/>
    <cellStyle name="40% - Accent2 2 14" xfId="910"/>
    <cellStyle name="40% - Accent2 2 14 2" xfId="911"/>
    <cellStyle name="40% - Accent2 2 15" xfId="912"/>
    <cellStyle name="40% - Accent2 2 15 2" xfId="913"/>
    <cellStyle name="40% - Accent2 2 16" xfId="914"/>
    <cellStyle name="40% - Accent2 2 16 2" xfId="915"/>
    <cellStyle name="40% - Accent2 2 17" xfId="916"/>
    <cellStyle name="40% - Accent2 2 17 2" xfId="917"/>
    <cellStyle name="40% - Accent2 2 18" xfId="2525"/>
    <cellStyle name="40% - Accent2 2 18 2" xfId="2829"/>
    <cellStyle name="40% - Accent2 2 19" xfId="2754"/>
    <cellStyle name="40% - Accent2 2 2" xfId="366"/>
    <cellStyle name="40% - Accent2 2 2 2" xfId="919"/>
    <cellStyle name="40% - Accent2 2 2 3" xfId="918"/>
    <cellStyle name="40% - Accent2 2 2 4" xfId="2779"/>
    <cellStyle name="40% - Accent2 2 2 5" xfId="11896"/>
    <cellStyle name="40% - Accent2 2 20" xfId="11897"/>
    <cellStyle name="40% - Accent2 2 3" xfId="920"/>
    <cellStyle name="40% - Accent2 2 3 2" xfId="921"/>
    <cellStyle name="40% - Accent2 2 4" xfId="922"/>
    <cellStyle name="40% - Accent2 2 4 2" xfId="923"/>
    <cellStyle name="40% - Accent2 2 5" xfId="924"/>
    <cellStyle name="40% - Accent2 2 5 2" xfId="925"/>
    <cellStyle name="40% - Accent2 2 6" xfId="926"/>
    <cellStyle name="40% - Accent2 2 6 2" xfId="927"/>
    <cellStyle name="40% - Accent2 2 7" xfId="928"/>
    <cellStyle name="40% - Accent2 2 7 2" xfId="929"/>
    <cellStyle name="40% - Accent2 2 8" xfId="930"/>
    <cellStyle name="40% - Accent2 2 8 2" xfId="931"/>
    <cellStyle name="40% - Accent2 2 9" xfId="932"/>
    <cellStyle name="40% - Accent2 2 9 2" xfId="933"/>
    <cellStyle name="40% - Accent2 3 10" xfId="934"/>
    <cellStyle name="40% - Accent2 3 10 2" xfId="935"/>
    <cellStyle name="40% - Accent2 3 11" xfId="936"/>
    <cellStyle name="40% - Accent2 3 11 2" xfId="937"/>
    <cellStyle name="40% - Accent2 3 12" xfId="938"/>
    <cellStyle name="40% - Accent2 3 12 2" xfId="939"/>
    <cellStyle name="40% - Accent2 3 13" xfId="940"/>
    <cellStyle name="40% - Accent2 3 13 2" xfId="941"/>
    <cellStyle name="40% - Accent2 3 14" xfId="942"/>
    <cellStyle name="40% - Accent2 3 14 2" xfId="943"/>
    <cellStyle name="40% - Accent2 3 15" xfId="944"/>
    <cellStyle name="40% - Accent2 3 15 2" xfId="945"/>
    <cellStyle name="40% - Accent2 3 16" xfId="946"/>
    <cellStyle name="40% - Accent2 3 16 2" xfId="947"/>
    <cellStyle name="40% - Accent2 3 17" xfId="948"/>
    <cellStyle name="40% - Accent2 3 17 2" xfId="949"/>
    <cellStyle name="40% - Accent2 3 2" xfId="950"/>
    <cellStyle name="40% - Accent2 3 2 2" xfId="951"/>
    <cellStyle name="40% - Accent2 3 3" xfId="952"/>
    <cellStyle name="40% - Accent2 3 3 2" xfId="953"/>
    <cellStyle name="40% - Accent2 3 4" xfId="954"/>
    <cellStyle name="40% - Accent2 3 4 2" xfId="955"/>
    <cellStyle name="40% - Accent2 3 5" xfId="956"/>
    <cellStyle name="40% - Accent2 3 5 2" xfId="957"/>
    <cellStyle name="40% - Accent2 3 6" xfId="958"/>
    <cellStyle name="40% - Accent2 3 6 2" xfId="959"/>
    <cellStyle name="40% - Accent2 3 7" xfId="960"/>
    <cellStyle name="40% - Accent2 3 7 2" xfId="961"/>
    <cellStyle name="40% - Accent2 3 8" xfId="962"/>
    <cellStyle name="40% - Accent2 3 8 2" xfId="963"/>
    <cellStyle name="40% - Accent2 3 9" xfId="964"/>
    <cellStyle name="40% - Accent2 3 9 2" xfId="965"/>
    <cellStyle name="40% - Accent3 2" xfId="239"/>
    <cellStyle name="40% - Accent3 2 10" xfId="966"/>
    <cellStyle name="40% - Accent3 2 10 2" xfId="967"/>
    <cellStyle name="40% - Accent3 2 11" xfId="968"/>
    <cellStyle name="40% - Accent3 2 11 2" xfId="969"/>
    <cellStyle name="40% - Accent3 2 12" xfId="970"/>
    <cellStyle name="40% - Accent3 2 12 2" xfId="971"/>
    <cellStyle name="40% - Accent3 2 13" xfId="972"/>
    <cellStyle name="40% - Accent3 2 13 2" xfId="973"/>
    <cellStyle name="40% - Accent3 2 14" xfId="974"/>
    <cellStyle name="40% - Accent3 2 14 2" xfId="975"/>
    <cellStyle name="40% - Accent3 2 15" xfId="976"/>
    <cellStyle name="40% - Accent3 2 15 2" xfId="977"/>
    <cellStyle name="40% - Accent3 2 16" xfId="978"/>
    <cellStyle name="40% - Accent3 2 16 2" xfId="979"/>
    <cellStyle name="40% - Accent3 2 17" xfId="980"/>
    <cellStyle name="40% - Accent3 2 17 2" xfId="981"/>
    <cellStyle name="40% - Accent3 2 18" xfId="2526"/>
    <cellStyle name="40% - Accent3 2 18 2" xfId="2830"/>
    <cellStyle name="40% - Accent3 2 19" xfId="2755"/>
    <cellStyle name="40% - Accent3 2 2" xfId="367"/>
    <cellStyle name="40% - Accent3 2 2 2" xfId="983"/>
    <cellStyle name="40% - Accent3 2 2 3" xfId="982"/>
    <cellStyle name="40% - Accent3 2 2 4" xfId="2780"/>
    <cellStyle name="40% - Accent3 2 2 5" xfId="11898"/>
    <cellStyle name="40% - Accent3 2 20" xfId="11899"/>
    <cellStyle name="40% - Accent3 2 3" xfId="984"/>
    <cellStyle name="40% - Accent3 2 3 2" xfId="985"/>
    <cellStyle name="40% - Accent3 2 4" xfId="986"/>
    <cellStyle name="40% - Accent3 2 4 2" xfId="987"/>
    <cellStyle name="40% - Accent3 2 5" xfId="988"/>
    <cellStyle name="40% - Accent3 2 5 2" xfId="989"/>
    <cellStyle name="40% - Accent3 2 6" xfId="990"/>
    <cellStyle name="40% - Accent3 2 6 2" xfId="991"/>
    <cellStyle name="40% - Accent3 2 7" xfId="992"/>
    <cellStyle name="40% - Accent3 2 7 2" xfId="993"/>
    <cellStyle name="40% - Accent3 2 8" xfId="994"/>
    <cellStyle name="40% - Accent3 2 8 2" xfId="995"/>
    <cellStyle name="40% - Accent3 2 9" xfId="996"/>
    <cellStyle name="40% - Accent3 2 9 2" xfId="997"/>
    <cellStyle name="40% - Accent3 3 10" xfId="998"/>
    <cellStyle name="40% - Accent3 3 10 2" xfId="999"/>
    <cellStyle name="40% - Accent3 3 11" xfId="1000"/>
    <cellStyle name="40% - Accent3 3 11 2" xfId="1001"/>
    <cellStyle name="40% - Accent3 3 12" xfId="1002"/>
    <cellStyle name="40% - Accent3 3 12 2" xfId="1003"/>
    <cellStyle name="40% - Accent3 3 13" xfId="1004"/>
    <cellStyle name="40% - Accent3 3 13 2" xfId="1005"/>
    <cellStyle name="40% - Accent3 3 14" xfId="1006"/>
    <cellStyle name="40% - Accent3 3 14 2" xfId="1007"/>
    <cellStyle name="40% - Accent3 3 15" xfId="1008"/>
    <cellStyle name="40% - Accent3 3 15 2" xfId="1009"/>
    <cellStyle name="40% - Accent3 3 16" xfId="1010"/>
    <cellStyle name="40% - Accent3 3 16 2" xfId="1011"/>
    <cellStyle name="40% - Accent3 3 17" xfId="1012"/>
    <cellStyle name="40% - Accent3 3 17 2" xfId="1013"/>
    <cellStyle name="40% - Accent3 3 2" xfId="1014"/>
    <cellStyle name="40% - Accent3 3 2 2" xfId="1015"/>
    <cellStyle name="40% - Accent3 3 3" xfId="1016"/>
    <cellStyle name="40% - Accent3 3 3 2" xfId="1017"/>
    <cellStyle name="40% - Accent3 3 4" xfId="1018"/>
    <cellStyle name="40% - Accent3 3 4 2" xfId="1019"/>
    <cellStyle name="40% - Accent3 3 5" xfId="1020"/>
    <cellStyle name="40% - Accent3 3 5 2" xfId="1021"/>
    <cellStyle name="40% - Accent3 3 6" xfId="1022"/>
    <cellStyle name="40% - Accent3 3 6 2" xfId="1023"/>
    <cellStyle name="40% - Accent3 3 7" xfId="1024"/>
    <cellStyle name="40% - Accent3 3 7 2" xfId="1025"/>
    <cellStyle name="40% - Accent3 3 8" xfId="1026"/>
    <cellStyle name="40% - Accent3 3 8 2" xfId="1027"/>
    <cellStyle name="40% - Accent3 3 9" xfId="1028"/>
    <cellStyle name="40% - Accent3 3 9 2" xfId="1029"/>
    <cellStyle name="40% - Accent4 2" xfId="240"/>
    <cellStyle name="40% - Accent4 2 10" xfId="1030"/>
    <cellStyle name="40% - Accent4 2 10 2" xfId="1031"/>
    <cellStyle name="40% - Accent4 2 11" xfId="1032"/>
    <cellStyle name="40% - Accent4 2 11 2" xfId="1033"/>
    <cellStyle name="40% - Accent4 2 12" xfId="1034"/>
    <cellStyle name="40% - Accent4 2 12 2" xfId="1035"/>
    <cellStyle name="40% - Accent4 2 13" xfId="1036"/>
    <cellStyle name="40% - Accent4 2 13 2" xfId="1037"/>
    <cellStyle name="40% - Accent4 2 14" xfId="1038"/>
    <cellStyle name="40% - Accent4 2 14 2" xfId="1039"/>
    <cellStyle name="40% - Accent4 2 15" xfId="1040"/>
    <cellStyle name="40% - Accent4 2 15 2" xfId="1041"/>
    <cellStyle name="40% - Accent4 2 16" xfId="1042"/>
    <cellStyle name="40% - Accent4 2 16 2" xfId="1043"/>
    <cellStyle name="40% - Accent4 2 17" xfId="1044"/>
    <cellStyle name="40% - Accent4 2 17 2" xfId="1045"/>
    <cellStyle name="40% - Accent4 2 18" xfId="2527"/>
    <cellStyle name="40% - Accent4 2 18 2" xfId="2831"/>
    <cellStyle name="40% - Accent4 2 19" xfId="2756"/>
    <cellStyle name="40% - Accent4 2 2" xfId="368"/>
    <cellStyle name="40% - Accent4 2 2 2" xfId="1047"/>
    <cellStyle name="40% - Accent4 2 2 3" xfId="1046"/>
    <cellStyle name="40% - Accent4 2 2 4" xfId="2781"/>
    <cellStyle name="40% - Accent4 2 2 5" xfId="11900"/>
    <cellStyle name="40% - Accent4 2 20" xfId="11901"/>
    <cellStyle name="40% - Accent4 2 3" xfId="1048"/>
    <cellStyle name="40% - Accent4 2 3 2" xfId="1049"/>
    <cellStyle name="40% - Accent4 2 4" xfId="1050"/>
    <cellStyle name="40% - Accent4 2 4 2" xfId="1051"/>
    <cellStyle name="40% - Accent4 2 5" xfId="1052"/>
    <cellStyle name="40% - Accent4 2 5 2" xfId="1053"/>
    <cellStyle name="40% - Accent4 2 6" xfId="1054"/>
    <cellStyle name="40% - Accent4 2 6 2" xfId="1055"/>
    <cellStyle name="40% - Accent4 2 7" xfId="1056"/>
    <cellStyle name="40% - Accent4 2 7 2" xfId="1057"/>
    <cellStyle name="40% - Accent4 2 8" xfId="1058"/>
    <cellStyle name="40% - Accent4 2 8 2" xfId="1059"/>
    <cellStyle name="40% - Accent4 2 9" xfId="1060"/>
    <cellStyle name="40% - Accent4 2 9 2" xfId="1061"/>
    <cellStyle name="40% - Accent4 3 10" xfId="1062"/>
    <cellStyle name="40% - Accent4 3 10 2" xfId="1063"/>
    <cellStyle name="40% - Accent4 3 11" xfId="1064"/>
    <cellStyle name="40% - Accent4 3 11 2" xfId="1065"/>
    <cellStyle name="40% - Accent4 3 12" xfId="1066"/>
    <cellStyle name="40% - Accent4 3 12 2" xfId="1067"/>
    <cellStyle name="40% - Accent4 3 13" xfId="1068"/>
    <cellStyle name="40% - Accent4 3 13 2" xfId="1069"/>
    <cellStyle name="40% - Accent4 3 14" xfId="1070"/>
    <cellStyle name="40% - Accent4 3 14 2" xfId="1071"/>
    <cellStyle name="40% - Accent4 3 15" xfId="1072"/>
    <cellStyle name="40% - Accent4 3 15 2" xfId="1073"/>
    <cellStyle name="40% - Accent4 3 16" xfId="1074"/>
    <cellStyle name="40% - Accent4 3 16 2" xfId="1075"/>
    <cellStyle name="40% - Accent4 3 17" xfId="1076"/>
    <cellStyle name="40% - Accent4 3 17 2" xfId="1077"/>
    <cellStyle name="40% - Accent4 3 2" xfId="1078"/>
    <cellStyle name="40% - Accent4 3 2 2" xfId="1079"/>
    <cellStyle name="40% - Accent4 3 3" xfId="1080"/>
    <cellStyle name="40% - Accent4 3 3 2" xfId="1081"/>
    <cellStyle name="40% - Accent4 3 4" xfId="1082"/>
    <cellStyle name="40% - Accent4 3 4 2" xfId="1083"/>
    <cellStyle name="40% - Accent4 3 5" xfId="1084"/>
    <cellStyle name="40% - Accent4 3 5 2" xfId="1085"/>
    <cellStyle name="40% - Accent4 3 6" xfId="1086"/>
    <cellStyle name="40% - Accent4 3 6 2" xfId="1087"/>
    <cellStyle name="40% - Accent4 3 7" xfId="1088"/>
    <cellStyle name="40% - Accent4 3 7 2" xfId="1089"/>
    <cellStyle name="40% - Accent4 3 8" xfId="1090"/>
    <cellStyle name="40% - Accent4 3 8 2" xfId="1091"/>
    <cellStyle name="40% - Accent4 3 9" xfId="1092"/>
    <cellStyle name="40% - Accent4 3 9 2" xfId="1093"/>
    <cellStyle name="40% - Accent5 2" xfId="241"/>
    <cellStyle name="40% - Accent5 2 10" xfId="1094"/>
    <cellStyle name="40% - Accent5 2 10 2" xfId="1095"/>
    <cellStyle name="40% - Accent5 2 11" xfId="1096"/>
    <cellStyle name="40% - Accent5 2 11 2" xfId="1097"/>
    <cellStyle name="40% - Accent5 2 12" xfId="1098"/>
    <cellStyle name="40% - Accent5 2 12 2" xfId="1099"/>
    <cellStyle name="40% - Accent5 2 13" xfId="1100"/>
    <cellStyle name="40% - Accent5 2 13 2" xfId="1101"/>
    <cellStyle name="40% - Accent5 2 14" xfId="1102"/>
    <cellStyle name="40% - Accent5 2 14 2" xfId="1103"/>
    <cellStyle name="40% - Accent5 2 15" xfId="1104"/>
    <cellStyle name="40% - Accent5 2 15 2" xfId="1105"/>
    <cellStyle name="40% - Accent5 2 16" xfId="1106"/>
    <cellStyle name="40% - Accent5 2 16 2" xfId="1107"/>
    <cellStyle name="40% - Accent5 2 17" xfId="1108"/>
    <cellStyle name="40% - Accent5 2 17 2" xfId="1109"/>
    <cellStyle name="40% - Accent5 2 18" xfId="2528"/>
    <cellStyle name="40% - Accent5 2 18 2" xfId="2832"/>
    <cellStyle name="40% - Accent5 2 19" xfId="2757"/>
    <cellStyle name="40% - Accent5 2 2" xfId="369"/>
    <cellStyle name="40% - Accent5 2 2 2" xfId="1111"/>
    <cellStyle name="40% - Accent5 2 2 3" xfId="1110"/>
    <cellStyle name="40% - Accent5 2 2 4" xfId="2782"/>
    <cellStyle name="40% - Accent5 2 2 5" xfId="11902"/>
    <cellStyle name="40% - Accent5 2 20" xfId="11903"/>
    <cellStyle name="40% - Accent5 2 3" xfId="1112"/>
    <cellStyle name="40% - Accent5 2 3 2" xfId="1113"/>
    <cellStyle name="40% - Accent5 2 4" xfId="1114"/>
    <cellStyle name="40% - Accent5 2 4 2" xfId="1115"/>
    <cellStyle name="40% - Accent5 2 5" xfId="1116"/>
    <cellStyle name="40% - Accent5 2 5 2" xfId="1117"/>
    <cellStyle name="40% - Accent5 2 6" xfId="1118"/>
    <cellStyle name="40% - Accent5 2 6 2" xfId="1119"/>
    <cellStyle name="40% - Accent5 2 7" xfId="1120"/>
    <cellStyle name="40% - Accent5 2 7 2" xfId="1121"/>
    <cellStyle name="40% - Accent5 2 8" xfId="1122"/>
    <cellStyle name="40% - Accent5 2 8 2" xfId="1123"/>
    <cellStyle name="40% - Accent5 2 9" xfId="1124"/>
    <cellStyle name="40% - Accent5 2 9 2" xfId="1125"/>
    <cellStyle name="40% - Accent5 3 10" xfId="1126"/>
    <cellStyle name="40% - Accent5 3 10 2" xfId="1127"/>
    <cellStyle name="40% - Accent5 3 11" xfId="1128"/>
    <cellStyle name="40% - Accent5 3 11 2" xfId="1129"/>
    <cellStyle name="40% - Accent5 3 12" xfId="1130"/>
    <cellStyle name="40% - Accent5 3 12 2" xfId="1131"/>
    <cellStyle name="40% - Accent5 3 13" xfId="1132"/>
    <cellStyle name="40% - Accent5 3 13 2" xfId="1133"/>
    <cellStyle name="40% - Accent5 3 14" xfId="1134"/>
    <cellStyle name="40% - Accent5 3 14 2" xfId="1135"/>
    <cellStyle name="40% - Accent5 3 15" xfId="1136"/>
    <cellStyle name="40% - Accent5 3 15 2" xfId="1137"/>
    <cellStyle name="40% - Accent5 3 16" xfId="1138"/>
    <cellStyle name="40% - Accent5 3 16 2" xfId="1139"/>
    <cellStyle name="40% - Accent5 3 17" xfId="1140"/>
    <cellStyle name="40% - Accent5 3 17 2" xfId="1141"/>
    <cellStyle name="40% - Accent5 3 2" xfId="1142"/>
    <cellStyle name="40% - Accent5 3 2 2" xfId="1143"/>
    <cellStyle name="40% - Accent5 3 3" xfId="1144"/>
    <cellStyle name="40% - Accent5 3 3 2" xfId="1145"/>
    <cellStyle name="40% - Accent5 3 4" xfId="1146"/>
    <cellStyle name="40% - Accent5 3 4 2" xfId="1147"/>
    <cellStyle name="40% - Accent5 3 5" xfId="1148"/>
    <cellStyle name="40% - Accent5 3 5 2" xfId="1149"/>
    <cellStyle name="40% - Accent5 3 6" xfId="1150"/>
    <cellStyle name="40% - Accent5 3 6 2" xfId="1151"/>
    <cellStyle name="40% - Accent5 3 7" xfId="1152"/>
    <cellStyle name="40% - Accent5 3 7 2" xfId="1153"/>
    <cellStyle name="40% - Accent5 3 8" xfId="1154"/>
    <cellStyle name="40% - Accent5 3 8 2" xfId="1155"/>
    <cellStyle name="40% - Accent5 3 9" xfId="1156"/>
    <cellStyle name="40% - Accent5 3 9 2" xfId="1157"/>
    <cellStyle name="40% - Accent6 2" xfId="242"/>
    <cellStyle name="40% - Accent6 2 10" xfId="1158"/>
    <cellStyle name="40% - Accent6 2 10 2" xfId="1159"/>
    <cellStyle name="40% - Accent6 2 11" xfId="1160"/>
    <cellStyle name="40% - Accent6 2 11 2" xfId="1161"/>
    <cellStyle name="40% - Accent6 2 12" xfId="1162"/>
    <cellStyle name="40% - Accent6 2 12 2" xfId="1163"/>
    <cellStyle name="40% - Accent6 2 13" xfId="1164"/>
    <cellStyle name="40% - Accent6 2 13 2" xfId="1165"/>
    <cellStyle name="40% - Accent6 2 14" xfId="1166"/>
    <cellStyle name="40% - Accent6 2 14 2" xfId="1167"/>
    <cellStyle name="40% - Accent6 2 15" xfId="1168"/>
    <cellStyle name="40% - Accent6 2 15 2" xfId="1169"/>
    <cellStyle name="40% - Accent6 2 16" xfId="1170"/>
    <cellStyle name="40% - Accent6 2 16 2" xfId="1171"/>
    <cellStyle name="40% - Accent6 2 17" xfId="1172"/>
    <cellStyle name="40% - Accent6 2 17 2" xfId="1173"/>
    <cellStyle name="40% - Accent6 2 18" xfId="2529"/>
    <cellStyle name="40% - Accent6 2 18 2" xfId="2833"/>
    <cellStyle name="40% - Accent6 2 19" xfId="2758"/>
    <cellStyle name="40% - Accent6 2 2" xfId="370"/>
    <cellStyle name="40% - Accent6 2 2 2" xfId="1175"/>
    <cellStyle name="40% - Accent6 2 2 3" xfId="1174"/>
    <cellStyle name="40% - Accent6 2 2 4" xfId="2783"/>
    <cellStyle name="40% - Accent6 2 2 5" xfId="11904"/>
    <cellStyle name="40% - Accent6 2 20" xfId="11905"/>
    <cellStyle name="40% - Accent6 2 3" xfId="1176"/>
    <cellStyle name="40% - Accent6 2 3 2" xfId="1177"/>
    <cellStyle name="40% - Accent6 2 4" xfId="1178"/>
    <cellStyle name="40% - Accent6 2 4 2" xfId="1179"/>
    <cellStyle name="40% - Accent6 2 5" xfId="1180"/>
    <cellStyle name="40% - Accent6 2 5 2" xfId="1181"/>
    <cellStyle name="40% - Accent6 2 6" xfId="1182"/>
    <cellStyle name="40% - Accent6 2 6 2" xfId="1183"/>
    <cellStyle name="40% - Accent6 2 7" xfId="1184"/>
    <cellStyle name="40% - Accent6 2 7 2" xfId="1185"/>
    <cellStyle name="40% - Accent6 2 8" xfId="1186"/>
    <cellStyle name="40% - Accent6 2 8 2" xfId="1187"/>
    <cellStyle name="40% - Accent6 2 9" xfId="1188"/>
    <cellStyle name="40% - Accent6 2 9 2" xfId="1189"/>
    <cellStyle name="40% - Accent6 3 10" xfId="1190"/>
    <cellStyle name="40% - Accent6 3 10 2" xfId="1191"/>
    <cellStyle name="40% - Accent6 3 11" xfId="1192"/>
    <cellStyle name="40% - Accent6 3 11 2" xfId="1193"/>
    <cellStyle name="40% - Accent6 3 12" xfId="1194"/>
    <cellStyle name="40% - Accent6 3 12 2" xfId="1195"/>
    <cellStyle name="40% - Accent6 3 13" xfId="1196"/>
    <cellStyle name="40% - Accent6 3 13 2" xfId="1197"/>
    <cellStyle name="40% - Accent6 3 14" xfId="1198"/>
    <cellStyle name="40% - Accent6 3 14 2" xfId="1199"/>
    <cellStyle name="40% - Accent6 3 15" xfId="1200"/>
    <cellStyle name="40% - Accent6 3 15 2" xfId="1201"/>
    <cellStyle name="40% - Accent6 3 16" xfId="1202"/>
    <cellStyle name="40% - Accent6 3 16 2" xfId="1203"/>
    <cellStyle name="40% - Accent6 3 17" xfId="1204"/>
    <cellStyle name="40% - Accent6 3 17 2" xfId="1205"/>
    <cellStyle name="40% - Accent6 3 2" xfId="1206"/>
    <cellStyle name="40% - Accent6 3 2 2" xfId="1207"/>
    <cellStyle name="40% - Accent6 3 3" xfId="1208"/>
    <cellStyle name="40% - Accent6 3 3 2" xfId="1209"/>
    <cellStyle name="40% - Accent6 3 4" xfId="1210"/>
    <cellStyle name="40% - Accent6 3 4 2" xfId="1211"/>
    <cellStyle name="40% - Accent6 3 5" xfId="1212"/>
    <cellStyle name="40% - Accent6 3 5 2" xfId="1213"/>
    <cellStyle name="40% - Accent6 3 6" xfId="1214"/>
    <cellStyle name="40% - Accent6 3 6 2" xfId="1215"/>
    <cellStyle name="40% - Accent6 3 7" xfId="1216"/>
    <cellStyle name="40% - Accent6 3 7 2" xfId="1217"/>
    <cellStyle name="40% - Accent6 3 8" xfId="1218"/>
    <cellStyle name="40% - Accent6 3 8 2" xfId="1219"/>
    <cellStyle name="40% - Accent6 3 9" xfId="1220"/>
    <cellStyle name="40% - Accent6 3 9 2" xfId="1221"/>
    <cellStyle name="40% - Colore 1" xfId="121"/>
    <cellStyle name="40% - Colore 1 2" xfId="122"/>
    <cellStyle name="40% - Colore 1 2 2" xfId="1223"/>
    <cellStyle name="40% - Colore 1 2 3" xfId="2530"/>
    <cellStyle name="40% - Colore 1 2 4" xfId="11906"/>
    <cellStyle name="40% - Colore 1 2 4 2" xfId="11907"/>
    <cellStyle name="40% - Colore 1 2 5" xfId="11908"/>
    <cellStyle name="40% - Colore 1 3" xfId="306"/>
    <cellStyle name="40% - Colore 1 3 2" xfId="1224"/>
    <cellStyle name="40% - Colore 1 3 2 2" xfId="2531"/>
    <cellStyle name="40% - Colore 1 3 3" xfId="2532"/>
    <cellStyle name="40% - Colore 1 3 4" xfId="11909"/>
    <cellStyle name="40% - Colore 1 3 4 2" xfId="11910"/>
    <cellStyle name="40% - Colore 1 3 5" xfId="11911"/>
    <cellStyle name="40% - Colore 1 4" xfId="1225"/>
    <cellStyle name="40% - Colore 1 4 2" xfId="2533"/>
    <cellStyle name="40% - Colore 1 5" xfId="1222"/>
    <cellStyle name="40% - Colore 1 6" xfId="2534"/>
    <cellStyle name="40% - Colore 1 7" xfId="2535"/>
    <cellStyle name="40% - Colore 1 8" xfId="11912"/>
    <cellStyle name="40% - Colore 1 8 2" xfId="11913"/>
    <cellStyle name="40% - Colore 1 9" xfId="11914"/>
    <cellStyle name="40% - Colore 2" xfId="123"/>
    <cellStyle name="40% - Colore 2 2" xfId="124"/>
    <cellStyle name="40% - Colore 2 2 2" xfId="1227"/>
    <cellStyle name="40% - Colore 2 2 3" xfId="2536"/>
    <cellStyle name="40% - Colore 2 2 4" xfId="11915"/>
    <cellStyle name="40% - Colore 2 2 4 2" xfId="11916"/>
    <cellStyle name="40% - Colore 2 2 5" xfId="11917"/>
    <cellStyle name="40% - Colore 2 3" xfId="307"/>
    <cellStyle name="40% - Colore 2 3 2" xfId="1228"/>
    <cellStyle name="40% - Colore 2 3 2 2" xfId="2537"/>
    <cellStyle name="40% - Colore 2 3 3" xfId="2538"/>
    <cellStyle name="40% - Colore 2 3 4" xfId="11918"/>
    <cellStyle name="40% - Colore 2 3 4 2" xfId="11919"/>
    <cellStyle name="40% - Colore 2 3 5" xfId="11920"/>
    <cellStyle name="40% - Colore 2 4" xfId="1229"/>
    <cellStyle name="40% - Colore 2 4 2" xfId="2539"/>
    <cellStyle name="40% - Colore 2 5" xfId="1226"/>
    <cellStyle name="40% - Colore 2 6" xfId="2540"/>
    <cellStyle name="40% - Colore 2 7" xfId="2541"/>
    <cellStyle name="40% - Colore 2 8" xfId="11921"/>
    <cellStyle name="40% - Colore 2 8 2" xfId="11922"/>
    <cellStyle name="40% - Colore 2 9" xfId="11923"/>
    <cellStyle name="40% - Colore 3" xfId="125"/>
    <cellStyle name="40% - Colore 3 10" xfId="126"/>
    <cellStyle name="40% - Colore 3 10 2" xfId="1231"/>
    <cellStyle name="40% - Colore 3 10 3" xfId="2542"/>
    <cellStyle name="40% - Colore 3 10 4" xfId="11924"/>
    <cellStyle name="40% - Colore 3 10 4 2" xfId="11925"/>
    <cellStyle name="40% - Colore 3 10 5" xfId="11926"/>
    <cellStyle name="40% - Colore 3 11" xfId="127"/>
    <cellStyle name="40% - Colore 3 11 2" xfId="1232"/>
    <cellStyle name="40% - Colore 3 11 3" xfId="2543"/>
    <cellStyle name="40% - Colore 3 11 4" xfId="11927"/>
    <cellStyle name="40% - Colore 3 11 4 2" xfId="11928"/>
    <cellStyle name="40% - Colore 3 11 5" xfId="11929"/>
    <cellStyle name="40% - Colore 3 12" xfId="128"/>
    <cellStyle name="40% - Colore 3 12 2" xfId="1233"/>
    <cellStyle name="40% - Colore 3 12 3" xfId="2544"/>
    <cellStyle name="40% - Colore 3 12 4" xfId="11930"/>
    <cellStyle name="40% - Colore 3 12 4 2" xfId="11931"/>
    <cellStyle name="40% - Colore 3 12 5" xfId="11932"/>
    <cellStyle name="40% - Colore 3 13" xfId="129"/>
    <cellStyle name="40% - Colore 3 13 2" xfId="1234"/>
    <cellStyle name="40% - Colore 3 13 3" xfId="2545"/>
    <cellStyle name="40% - Colore 3 13 4" xfId="11933"/>
    <cellStyle name="40% - Colore 3 13 4 2" xfId="11934"/>
    <cellStyle name="40% - Colore 3 13 5" xfId="11935"/>
    <cellStyle name="40% - Colore 3 14" xfId="130"/>
    <cellStyle name="40% - Colore 3 14 2" xfId="1235"/>
    <cellStyle name="40% - Colore 3 14 3" xfId="2546"/>
    <cellStyle name="40% - Colore 3 14 4" xfId="11936"/>
    <cellStyle name="40% - Colore 3 14 4 2" xfId="11937"/>
    <cellStyle name="40% - Colore 3 14 5" xfId="11938"/>
    <cellStyle name="40% - Colore 3 15" xfId="308"/>
    <cellStyle name="40% - Colore 3 15 2" xfId="1236"/>
    <cellStyle name="40% - Colore 3 15 2 2" xfId="2547"/>
    <cellStyle name="40% - Colore 3 15 3" xfId="2548"/>
    <cellStyle name="40% - Colore 3 15 4" xfId="11939"/>
    <cellStyle name="40% - Colore 3 15 4 2" xfId="11940"/>
    <cellStyle name="40% - Colore 3 15 5" xfId="11941"/>
    <cellStyle name="40% - Colore 3 16" xfId="1237"/>
    <cellStyle name="40% - Colore 3 16 2" xfId="2549"/>
    <cellStyle name="40% - Colore 3 17" xfId="1230"/>
    <cellStyle name="40% - Colore 3 18" xfId="2550"/>
    <cellStyle name="40% - Colore 3 19" xfId="2551"/>
    <cellStyle name="40% - Colore 3 2" xfId="131"/>
    <cellStyle name="40% - Colore 3 2 2" xfId="1238"/>
    <cellStyle name="40% - Colore 3 2 3" xfId="2552"/>
    <cellStyle name="40% - Colore 3 2 4" xfId="11942"/>
    <cellStyle name="40% - Colore 3 2 4 2" xfId="11943"/>
    <cellStyle name="40% - Colore 3 2 5" xfId="11944"/>
    <cellStyle name="40% - Colore 3 20" xfId="11945"/>
    <cellStyle name="40% - Colore 3 20 2" xfId="11946"/>
    <cellStyle name="40% - Colore 3 21" xfId="11947"/>
    <cellStyle name="40% - Colore 3 3" xfId="132"/>
    <cellStyle name="40% - Colore 3 3 2" xfId="1239"/>
    <cellStyle name="40% - Colore 3 3 3" xfId="2553"/>
    <cellStyle name="40% - Colore 3 3 4" xfId="11948"/>
    <cellStyle name="40% - Colore 3 3 4 2" xfId="11949"/>
    <cellStyle name="40% - Colore 3 3 5" xfId="11950"/>
    <cellStyle name="40% - Colore 3 4" xfId="133"/>
    <cellStyle name="40% - Colore 3 4 2" xfId="1240"/>
    <cellStyle name="40% - Colore 3 4 3" xfId="2554"/>
    <cellStyle name="40% - Colore 3 4 4" xfId="11951"/>
    <cellStyle name="40% - Colore 3 4 4 2" xfId="11952"/>
    <cellStyle name="40% - Colore 3 4 5" xfId="11953"/>
    <cellStyle name="40% - Colore 3 5" xfId="134"/>
    <cellStyle name="40% - Colore 3 5 2" xfId="1241"/>
    <cellStyle name="40% - Colore 3 5 3" xfId="2555"/>
    <cellStyle name="40% - Colore 3 5 4" xfId="11954"/>
    <cellStyle name="40% - Colore 3 5 4 2" xfId="11955"/>
    <cellStyle name="40% - Colore 3 5 5" xfId="11956"/>
    <cellStyle name="40% - Colore 3 6" xfId="135"/>
    <cellStyle name="40% - Colore 3 6 2" xfId="1242"/>
    <cellStyle name="40% - Colore 3 6 3" xfId="2556"/>
    <cellStyle name="40% - Colore 3 6 4" xfId="11957"/>
    <cellStyle name="40% - Colore 3 6 4 2" xfId="11958"/>
    <cellStyle name="40% - Colore 3 6 5" xfId="11959"/>
    <cellStyle name="40% - Colore 3 7" xfId="136"/>
    <cellStyle name="40% - Colore 3 7 2" xfId="1243"/>
    <cellStyle name="40% - Colore 3 7 3" xfId="2557"/>
    <cellStyle name="40% - Colore 3 7 4" xfId="11960"/>
    <cellStyle name="40% - Colore 3 7 4 2" xfId="11961"/>
    <cellStyle name="40% - Colore 3 7 5" xfId="11962"/>
    <cellStyle name="40% - Colore 3 8" xfId="137"/>
    <cellStyle name="40% - Colore 3 8 2" xfId="1244"/>
    <cellStyle name="40% - Colore 3 8 3" xfId="2558"/>
    <cellStyle name="40% - Colore 3 8 4" xfId="11963"/>
    <cellStyle name="40% - Colore 3 8 4 2" xfId="11964"/>
    <cellStyle name="40% - Colore 3 8 5" xfId="11965"/>
    <cellStyle name="40% - Colore 3 9" xfId="138"/>
    <cellStyle name="40% - Colore 3 9 2" xfId="1245"/>
    <cellStyle name="40% - Colore 3 9 3" xfId="2559"/>
    <cellStyle name="40% - Colore 3 9 4" xfId="11966"/>
    <cellStyle name="40% - Colore 3 9 4 2" xfId="11967"/>
    <cellStyle name="40% - Colore 3 9 5" xfId="11968"/>
    <cellStyle name="40% - Colore 4" xfId="139"/>
    <cellStyle name="40% - Colore 4 2" xfId="140"/>
    <cellStyle name="40% - Colore 4 2 2" xfId="1247"/>
    <cellStyle name="40% - Colore 4 2 3" xfId="2560"/>
    <cellStyle name="40% - Colore 4 2 4" xfId="11969"/>
    <cellStyle name="40% - Colore 4 2 4 2" xfId="11970"/>
    <cellStyle name="40% - Colore 4 2 5" xfId="11971"/>
    <cellStyle name="40% - Colore 4 3" xfId="309"/>
    <cellStyle name="40% - Colore 4 3 2" xfId="1248"/>
    <cellStyle name="40% - Colore 4 3 2 2" xfId="2561"/>
    <cellStyle name="40% - Colore 4 3 3" xfId="2562"/>
    <cellStyle name="40% - Colore 4 3 4" xfId="11972"/>
    <cellStyle name="40% - Colore 4 3 4 2" xfId="11973"/>
    <cellStyle name="40% - Colore 4 3 5" xfId="11974"/>
    <cellStyle name="40% - Colore 4 4" xfId="1249"/>
    <cellStyle name="40% - Colore 4 4 2" xfId="2563"/>
    <cellStyle name="40% - Colore 4 5" xfId="1246"/>
    <cellStyle name="40% - Colore 4 6" xfId="2564"/>
    <cellStyle name="40% - Colore 4 7" xfId="2565"/>
    <cellStyle name="40% - Colore 4 8" xfId="11975"/>
    <cellStyle name="40% - Colore 4 8 2" xfId="11976"/>
    <cellStyle name="40% - Colore 4 9" xfId="11977"/>
    <cellStyle name="40% - Colore 5" xfId="141"/>
    <cellStyle name="40% - Colore 5 2" xfId="142"/>
    <cellStyle name="40% - Colore 5 2 2" xfId="1251"/>
    <cellStyle name="40% - Colore 5 2 3" xfId="2566"/>
    <cellStyle name="40% - Colore 5 2 4" xfId="11978"/>
    <cellStyle name="40% - Colore 5 2 4 2" xfId="11979"/>
    <cellStyle name="40% - Colore 5 2 5" xfId="11980"/>
    <cellStyle name="40% - Colore 5 3" xfId="310"/>
    <cellStyle name="40% - Colore 5 3 2" xfId="1252"/>
    <cellStyle name="40% - Colore 5 3 2 2" xfId="2567"/>
    <cellStyle name="40% - Colore 5 3 3" xfId="2568"/>
    <cellStyle name="40% - Colore 5 3 4" xfId="11981"/>
    <cellStyle name="40% - Colore 5 3 4 2" xfId="11982"/>
    <cellStyle name="40% - Colore 5 3 5" xfId="11983"/>
    <cellStyle name="40% - Colore 5 4" xfId="1253"/>
    <cellStyle name="40% - Colore 5 4 2" xfId="2569"/>
    <cellStyle name="40% - Colore 5 5" xfId="1250"/>
    <cellStyle name="40% - Colore 5 6" xfId="2570"/>
    <cellStyle name="40% - Colore 5 7" xfId="2571"/>
    <cellStyle name="40% - Colore 5 8" xfId="11984"/>
    <cellStyle name="40% - Colore 5 8 2" xfId="11985"/>
    <cellStyle name="40% - Colore 5 9" xfId="11986"/>
    <cellStyle name="40% - Colore 6" xfId="143"/>
    <cellStyle name="40% - Colore 6 2" xfId="144"/>
    <cellStyle name="40% - Colore 6 2 2" xfId="1255"/>
    <cellStyle name="40% - Colore 6 2 3" xfId="2572"/>
    <cellStyle name="40% - Colore 6 2 4" xfId="11987"/>
    <cellStyle name="40% - Colore 6 2 4 2" xfId="11988"/>
    <cellStyle name="40% - Colore 6 2 5" xfId="11989"/>
    <cellStyle name="40% - Colore 6 3" xfId="311"/>
    <cellStyle name="40% - Colore 6 3 2" xfId="1256"/>
    <cellStyle name="40% - Colore 6 3 2 2" xfId="2573"/>
    <cellStyle name="40% - Colore 6 3 3" xfId="2574"/>
    <cellStyle name="40% - Colore 6 3 4" xfId="11990"/>
    <cellStyle name="40% - Colore 6 3 4 2" xfId="11991"/>
    <cellStyle name="40% - Colore 6 3 5" xfId="11992"/>
    <cellStyle name="40% - Colore 6 4" xfId="1257"/>
    <cellStyle name="40% - Colore 6 4 2" xfId="2575"/>
    <cellStyle name="40% - Colore 6 5" xfId="1254"/>
    <cellStyle name="40% - Colore 6 6" xfId="2576"/>
    <cellStyle name="40% - Colore 6 7" xfId="2577"/>
    <cellStyle name="40% - Colore 6 8" xfId="11993"/>
    <cellStyle name="40% - Colore 6 8 2" xfId="11994"/>
    <cellStyle name="40% - Colore 6 9" xfId="11995"/>
    <cellStyle name="60% - Accent1 2" xfId="243"/>
    <cellStyle name="60% - Accent1 2 10" xfId="1258"/>
    <cellStyle name="60% - Accent1 2 11" xfId="1259"/>
    <cellStyle name="60% - Accent1 2 12" xfId="1260"/>
    <cellStyle name="60% - Accent1 2 13" xfId="1261"/>
    <cellStyle name="60% - Accent1 2 14" xfId="1262"/>
    <cellStyle name="60% - Accent1 2 15" xfId="1263"/>
    <cellStyle name="60% - Accent1 2 16" xfId="1264"/>
    <cellStyle name="60% - Accent1 2 17" xfId="1265"/>
    <cellStyle name="60% - Accent1 2 2" xfId="1266"/>
    <cellStyle name="60% - Accent1 2 3" xfId="1267"/>
    <cellStyle name="60% - Accent1 2 4" xfId="1268"/>
    <cellStyle name="60% - Accent1 2 5" xfId="1269"/>
    <cellStyle name="60% - Accent1 2 6" xfId="1270"/>
    <cellStyle name="60% - Accent1 2 7" xfId="1271"/>
    <cellStyle name="60% - Accent1 2 8" xfId="1272"/>
    <cellStyle name="60% - Accent1 2 9" xfId="1273"/>
    <cellStyle name="60% - Accent1 3 10" xfId="1274"/>
    <cellStyle name="60% - Accent1 3 11" xfId="1275"/>
    <cellStyle name="60% - Accent1 3 12" xfId="1276"/>
    <cellStyle name="60% - Accent1 3 13" xfId="1277"/>
    <cellStyle name="60% - Accent1 3 14" xfId="1278"/>
    <cellStyle name="60% - Accent1 3 15" xfId="1279"/>
    <cellStyle name="60% - Accent1 3 16" xfId="1280"/>
    <cellStyle name="60% - Accent1 3 17" xfId="1281"/>
    <cellStyle name="60% - Accent1 3 2" xfId="1282"/>
    <cellStyle name="60% - Accent1 3 3" xfId="1283"/>
    <cellStyle name="60% - Accent1 3 4" xfId="1284"/>
    <cellStyle name="60% - Accent1 3 5" xfId="1285"/>
    <cellStyle name="60% - Accent1 3 6" xfId="1286"/>
    <cellStyle name="60% - Accent1 3 7" xfId="1287"/>
    <cellStyle name="60% - Accent1 3 8" xfId="1288"/>
    <cellStyle name="60% - Accent1 3 9" xfId="1289"/>
    <cellStyle name="60% - Accent2 2" xfId="244"/>
    <cellStyle name="60% - Accent2 2 10" xfId="1290"/>
    <cellStyle name="60% - Accent2 2 11" xfId="1291"/>
    <cellStyle name="60% - Accent2 2 12" xfId="1292"/>
    <cellStyle name="60% - Accent2 2 13" xfId="1293"/>
    <cellStyle name="60% - Accent2 2 14" xfId="1294"/>
    <cellStyle name="60% - Accent2 2 15" xfId="1295"/>
    <cellStyle name="60% - Accent2 2 16" xfId="1296"/>
    <cellStyle name="60% - Accent2 2 17" xfId="1297"/>
    <cellStyle name="60% - Accent2 2 2" xfId="1298"/>
    <cellStyle name="60% - Accent2 2 3" xfId="1299"/>
    <cellStyle name="60% - Accent2 2 4" xfId="1300"/>
    <cellStyle name="60% - Accent2 2 5" xfId="1301"/>
    <cellStyle name="60% - Accent2 2 6" xfId="1302"/>
    <cellStyle name="60% - Accent2 2 7" xfId="1303"/>
    <cellStyle name="60% - Accent2 2 8" xfId="1304"/>
    <cellStyle name="60% - Accent2 2 9" xfId="1305"/>
    <cellStyle name="60% - Accent2 3 10" xfId="1306"/>
    <cellStyle name="60% - Accent2 3 11" xfId="1307"/>
    <cellStyle name="60% - Accent2 3 12" xfId="1308"/>
    <cellStyle name="60% - Accent2 3 13" xfId="1309"/>
    <cellStyle name="60% - Accent2 3 14" xfId="1310"/>
    <cellStyle name="60% - Accent2 3 15" xfId="1311"/>
    <cellStyle name="60% - Accent2 3 16" xfId="1312"/>
    <cellStyle name="60% - Accent2 3 17" xfId="1313"/>
    <cellStyle name="60% - Accent2 3 2" xfId="1314"/>
    <cellStyle name="60% - Accent2 3 3" xfId="1315"/>
    <cellStyle name="60% - Accent2 3 4" xfId="1316"/>
    <cellStyle name="60% - Accent2 3 5" xfId="1317"/>
    <cellStyle name="60% - Accent2 3 6" xfId="1318"/>
    <cellStyle name="60% - Accent2 3 7" xfId="1319"/>
    <cellStyle name="60% - Accent2 3 8" xfId="1320"/>
    <cellStyle name="60% - Accent2 3 9" xfId="1321"/>
    <cellStyle name="60% - Accent3 2" xfId="245"/>
    <cellStyle name="60% - Accent3 2 10" xfId="1322"/>
    <cellStyle name="60% - Accent3 2 11" xfId="1323"/>
    <cellStyle name="60% - Accent3 2 12" xfId="1324"/>
    <cellStyle name="60% - Accent3 2 13" xfId="1325"/>
    <cellStyle name="60% - Accent3 2 14" xfId="1326"/>
    <cellStyle name="60% - Accent3 2 15" xfId="1327"/>
    <cellStyle name="60% - Accent3 2 16" xfId="1328"/>
    <cellStyle name="60% - Accent3 2 17" xfId="1329"/>
    <cellStyle name="60% - Accent3 2 2" xfId="1330"/>
    <cellStyle name="60% - Accent3 2 3" xfId="1331"/>
    <cellStyle name="60% - Accent3 2 4" xfId="1332"/>
    <cellStyle name="60% - Accent3 2 5" xfId="1333"/>
    <cellStyle name="60% - Accent3 2 6" xfId="1334"/>
    <cellStyle name="60% - Accent3 2 7" xfId="1335"/>
    <cellStyle name="60% - Accent3 2 8" xfId="1336"/>
    <cellStyle name="60% - Accent3 2 9" xfId="1337"/>
    <cellStyle name="60% - Accent3 3 10" xfId="1338"/>
    <cellStyle name="60% - Accent3 3 11" xfId="1339"/>
    <cellStyle name="60% - Accent3 3 12" xfId="1340"/>
    <cellStyle name="60% - Accent3 3 13" xfId="1341"/>
    <cellStyle name="60% - Accent3 3 14" xfId="1342"/>
    <cellStyle name="60% - Accent3 3 15" xfId="1343"/>
    <cellStyle name="60% - Accent3 3 16" xfId="1344"/>
    <cellStyle name="60% - Accent3 3 17" xfId="1345"/>
    <cellStyle name="60% - Accent3 3 2" xfId="1346"/>
    <cellStyle name="60% - Accent3 3 3" xfId="1347"/>
    <cellStyle name="60% - Accent3 3 4" xfId="1348"/>
    <cellStyle name="60% - Accent3 3 5" xfId="1349"/>
    <cellStyle name="60% - Accent3 3 6" xfId="1350"/>
    <cellStyle name="60% - Accent3 3 7" xfId="1351"/>
    <cellStyle name="60% - Accent3 3 8" xfId="1352"/>
    <cellStyle name="60% - Accent3 3 9" xfId="1353"/>
    <cellStyle name="60% - Accent4 2" xfId="246"/>
    <cellStyle name="60% - Accent4 2 10" xfId="1354"/>
    <cellStyle name="60% - Accent4 2 11" xfId="1355"/>
    <cellStyle name="60% - Accent4 2 12" xfId="1356"/>
    <cellStyle name="60% - Accent4 2 13" xfId="1357"/>
    <cellStyle name="60% - Accent4 2 14" xfId="1358"/>
    <cellStyle name="60% - Accent4 2 15" xfId="1359"/>
    <cellStyle name="60% - Accent4 2 16" xfId="1360"/>
    <cellStyle name="60% - Accent4 2 17" xfId="1361"/>
    <cellStyle name="60% - Accent4 2 2" xfId="1362"/>
    <cellStyle name="60% - Accent4 2 3" xfId="1363"/>
    <cellStyle name="60% - Accent4 2 4" xfId="1364"/>
    <cellStyle name="60% - Accent4 2 5" xfId="1365"/>
    <cellStyle name="60% - Accent4 2 6" xfId="1366"/>
    <cellStyle name="60% - Accent4 2 7" xfId="1367"/>
    <cellStyle name="60% - Accent4 2 8" xfId="1368"/>
    <cellStyle name="60% - Accent4 2 9" xfId="1369"/>
    <cellStyle name="60% - Accent4 3 10" xfId="1370"/>
    <cellStyle name="60% - Accent4 3 11" xfId="1371"/>
    <cellStyle name="60% - Accent4 3 12" xfId="1372"/>
    <cellStyle name="60% - Accent4 3 13" xfId="1373"/>
    <cellStyle name="60% - Accent4 3 14" xfId="1374"/>
    <cellStyle name="60% - Accent4 3 15" xfId="1375"/>
    <cellStyle name="60% - Accent4 3 16" xfId="1376"/>
    <cellStyle name="60% - Accent4 3 17" xfId="1377"/>
    <cellStyle name="60% - Accent4 3 2" xfId="1378"/>
    <cellStyle name="60% - Accent4 3 3" xfId="1379"/>
    <cellStyle name="60% - Accent4 3 4" xfId="1380"/>
    <cellStyle name="60% - Accent4 3 5" xfId="1381"/>
    <cellStyle name="60% - Accent4 3 6" xfId="1382"/>
    <cellStyle name="60% - Accent4 3 7" xfId="1383"/>
    <cellStyle name="60% - Accent4 3 8" xfId="1384"/>
    <cellStyle name="60% - Accent4 3 9" xfId="1385"/>
    <cellStyle name="60% - Accent5 2" xfId="247"/>
    <cellStyle name="60% - Accent5 2 10" xfId="1386"/>
    <cellStyle name="60% - Accent5 2 11" xfId="1387"/>
    <cellStyle name="60% - Accent5 2 12" xfId="1388"/>
    <cellStyle name="60% - Accent5 2 13" xfId="1389"/>
    <cellStyle name="60% - Accent5 2 14" xfId="1390"/>
    <cellStyle name="60% - Accent5 2 15" xfId="1391"/>
    <cellStyle name="60% - Accent5 2 16" xfId="1392"/>
    <cellStyle name="60% - Accent5 2 17" xfId="1393"/>
    <cellStyle name="60% - Accent5 2 2" xfId="1394"/>
    <cellStyle name="60% - Accent5 2 3" xfId="1395"/>
    <cellStyle name="60% - Accent5 2 4" xfId="1396"/>
    <cellStyle name="60% - Accent5 2 5" xfId="1397"/>
    <cellStyle name="60% - Accent5 2 6" xfId="1398"/>
    <cellStyle name="60% - Accent5 2 7" xfId="1399"/>
    <cellStyle name="60% - Accent5 2 8" xfId="1400"/>
    <cellStyle name="60% - Accent5 2 9" xfId="1401"/>
    <cellStyle name="60% - Accent5 3 10" xfId="1402"/>
    <cellStyle name="60% - Accent5 3 11" xfId="1403"/>
    <cellStyle name="60% - Accent5 3 12" xfId="1404"/>
    <cellStyle name="60% - Accent5 3 13" xfId="1405"/>
    <cellStyle name="60% - Accent5 3 14" xfId="1406"/>
    <cellStyle name="60% - Accent5 3 15" xfId="1407"/>
    <cellStyle name="60% - Accent5 3 16" xfId="1408"/>
    <cellStyle name="60% - Accent5 3 17" xfId="1409"/>
    <cellStyle name="60% - Accent5 3 2" xfId="1410"/>
    <cellStyle name="60% - Accent5 3 3" xfId="1411"/>
    <cellStyle name="60% - Accent5 3 4" xfId="1412"/>
    <cellStyle name="60% - Accent5 3 5" xfId="1413"/>
    <cellStyle name="60% - Accent5 3 6" xfId="1414"/>
    <cellStyle name="60% - Accent5 3 7" xfId="1415"/>
    <cellStyle name="60% - Accent5 3 8" xfId="1416"/>
    <cellStyle name="60% - Accent5 3 9" xfId="1417"/>
    <cellStyle name="60% - Accent6 2" xfId="248"/>
    <cellStyle name="60% - Accent6 2 10" xfId="1418"/>
    <cellStyle name="60% - Accent6 2 11" xfId="1419"/>
    <cellStyle name="60% - Accent6 2 12" xfId="1420"/>
    <cellStyle name="60% - Accent6 2 13" xfId="1421"/>
    <cellStyle name="60% - Accent6 2 14" xfId="1422"/>
    <cellStyle name="60% - Accent6 2 15" xfId="1423"/>
    <cellStyle name="60% - Accent6 2 16" xfId="1424"/>
    <cellStyle name="60% - Accent6 2 17" xfId="1425"/>
    <cellStyle name="60% - Accent6 2 2" xfId="1426"/>
    <cellStyle name="60% - Accent6 2 3" xfId="1427"/>
    <cellStyle name="60% - Accent6 2 4" xfId="1428"/>
    <cellStyle name="60% - Accent6 2 5" xfId="1429"/>
    <cellStyle name="60% - Accent6 2 6" xfId="1430"/>
    <cellStyle name="60% - Accent6 2 7" xfId="1431"/>
    <cellStyle name="60% - Accent6 2 8" xfId="1432"/>
    <cellStyle name="60% - Accent6 2 9" xfId="1433"/>
    <cellStyle name="60% - Accent6 3 10" xfId="1434"/>
    <cellStyle name="60% - Accent6 3 11" xfId="1435"/>
    <cellStyle name="60% - Accent6 3 12" xfId="1436"/>
    <cellStyle name="60% - Accent6 3 13" xfId="1437"/>
    <cellStyle name="60% - Accent6 3 14" xfId="1438"/>
    <cellStyle name="60% - Accent6 3 15" xfId="1439"/>
    <cellStyle name="60% - Accent6 3 16" xfId="1440"/>
    <cellStyle name="60% - Accent6 3 17" xfId="1441"/>
    <cellStyle name="60% - Accent6 3 2" xfId="1442"/>
    <cellStyle name="60% - Accent6 3 3" xfId="1443"/>
    <cellStyle name="60% - Accent6 3 4" xfId="1444"/>
    <cellStyle name="60% - Accent6 3 5" xfId="1445"/>
    <cellStyle name="60% - Accent6 3 6" xfId="1446"/>
    <cellStyle name="60% - Accent6 3 7" xfId="1447"/>
    <cellStyle name="60% - Accent6 3 8" xfId="1448"/>
    <cellStyle name="60% - Accent6 3 9" xfId="1449"/>
    <cellStyle name="60% - Colore 1" xfId="145"/>
    <cellStyle name="60% - Colore 1 2" xfId="312"/>
    <cellStyle name="60% - Colore 1 2 2" xfId="1450"/>
    <cellStyle name="60% - Colore 1 2 2 2" xfId="2578"/>
    <cellStyle name="60% - Colore 1 3" xfId="1451"/>
    <cellStyle name="60% - Colore 1 4" xfId="2579"/>
    <cellStyle name="60% - Colore 2" xfId="146"/>
    <cellStyle name="60% - Colore 2 2" xfId="313"/>
    <cellStyle name="60% - Colore 2 2 2" xfId="1452"/>
    <cellStyle name="60% - Colore 2 2 2 2" xfId="2580"/>
    <cellStyle name="60% - Colore 2 3" xfId="1453"/>
    <cellStyle name="60% - Colore 2 4" xfId="2581"/>
    <cellStyle name="60% - Colore 3" xfId="147"/>
    <cellStyle name="60% - Colore 3 10" xfId="148"/>
    <cellStyle name="60% - Colore 3 11" xfId="149"/>
    <cellStyle name="60% - Colore 3 12" xfId="150"/>
    <cellStyle name="60% - Colore 3 13" xfId="151"/>
    <cellStyle name="60% - Colore 3 14" xfId="314"/>
    <cellStyle name="60% - Colore 3 14 2" xfId="1454"/>
    <cellStyle name="60% - Colore 3 14 2 2" xfId="2582"/>
    <cellStyle name="60% - Colore 3 15" xfId="1455"/>
    <cellStyle name="60% - Colore 3 16" xfId="2583"/>
    <cellStyle name="60% - Colore 3 2" xfId="152"/>
    <cellStyle name="60% - Colore 3 3" xfId="153"/>
    <cellStyle name="60% - Colore 3 4" xfId="154"/>
    <cellStyle name="60% - Colore 3 5" xfId="155"/>
    <cellStyle name="60% - Colore 3 6" xfId="156"/>
    <cellStyle name="60% - Colore 3 7" xfId="157"/>
    <cellStyle name="60% - Colore 3 8" xfId="158"/>
    <cellStyle name="60% - Colore 3 9" xfId="159"/>
    <cellStyle name="60% - Colore 4" xfId="160"/>
    <cellStyle name="60% - Colore 4 10" xfId="161"/>
    <cellStyle name="60% - Colore 4 11" xfId="162"/>
    <cellStyle name="60% - Colore 4 12" xfId="163"/>
    <cellStyle name="60% - Colore 4 13" xfId="164"/>
    <cellStyle name="60% - Colore 4 14" xfId="315"/>
    <cellStyle name="60% - Colore 4 14 2" xfId="1456"/>
    <cellStyle name="60% - Colore 4 14 2 2" xfId="2584"/>
    <cellStyle name="60% - Colore 4 15" xfId="1457"/>
    <cellStyle name="60% - Colore 4 16" xfId="2585"/>
    <cellStyle name="60% - Colore 4 2" xfId="165"/>
    <cellStyle name="60% - Colore 4 3" xfId="166"/>
    <cellStyle name="60% - Colore 4 4" xfId="167"/>
    <cellStyle name="60% - Colore 4 5" xfId="168"/>
    <cellStyle name="60% - Colore 4 6" xfId="169"/>
    <cellStyle name="60% - Colore 4 7" xfId="170"/>
    <cellStyle name="60% - Colore 4 8" xfId="171"/>
    <cellStyle name="60% - Colore 4 9" xfId="172"/>
    <cellStyle name="60% - Colore 5" xfId="173"/>
    <cellStyle name="60% - Colore 5 2" xfId="316"/>
    <cellStyle name="60% - Colore 5 2 2" xfId="1458"/>
    <cellStyle name="60% - Colore 5 2 2 2" xfId="2586"/>
    <cellStyle name="60% - Colore 5 3" xfId="1459"/>
    <cellStyle name="60% - Colore 5 4" xfId="2587"/>
    <cellStyle name="60% - Colore 6" xfId="174"/>
    <cellStyle name="60% - Colore 6 10" xfId="175"/>
    <cellStyle name="60% - Colore 6 11" xfId="176"/>
    <cellStyle name="60% - Colore 6 12" xfId="177"/>
    <cellStyle name="60% - Colore 6 13" xfId="178"/>
    <cellStyle name="60% - Colore 6 14" xfId="317"/>
    <cellStyle name="60% - Colore 6 14 2" xfId="1460"/>
    <cellStyle name="60% - Colore 6 14 2 2" xfId="2588"/>
    <cellStyle name="60% - Colore 6 15" xfId="1461"/>
    <cellStyle name="60% - Colore 6 16" xfId="2589"/>
    <cellStyle name="60% - Colore 6 2" xfId="179"/>
    <cellStyle name="60% - Colore 6 3" xfId="180"/>
    <cellStyle name="60% - Colore 6 4" xfId="181"/>
    <cellStyle name="60% - Colore 6 5" xfId="182"/>
    <cellStyle name="60% - Colore 6 6" xfId="183"/>
    <cellStyle name="60% - Colore 6 7" xfId="184"/>
    <cellStyle name="60% - Colore 6 8" xfId="185"/>
    <cellStyle name="60% - Colore 6 9" xfId="186"/>
    <cellStyle name="Accent1 2" xfId="251"/>
    <cellStyle name="Accent1 2 10" xfId="1462"/>
    <cellStyle name="Accent1 2 11" xfId="1463"/>
    <cellStyle name="Accent1 2 12" xfId="1464"/>
    <cellStyle name="Accent1 2 13" xfId="1465"/>
    <cellStyle name="Accent1 2 14" xfId="1466"/>
    <cellStyle name="Accent1 2 15" xfId="1467"/>
    <cellStyle name="Accent1 2 16" xfId="1468"/>
    <cellStyle name="Accent1 2 17" xfId="1469"/>
    <cellStyle name="Accent1 2 2" xfId="1470"/>
    <cellStyle name="Accent1 2 3" xfId="1471"/>
    <cellStyle name="Accent1 2 4" xfId="1472"/>
    <cellStyle name="Accent1 2 5" xfId="1473"/>
    <cellStyle name="Accent1 2 6" xfId="1474"/>
    <cellStyle name="Accent1 2 7" xfId="1475"/>
    <cellStyle name="Accent1 2 8" xfId="1476"/>
    <cellStyle name="Accent1 2 9" xfId="1477"/>
    <cellStyle name="Accent1 3 10" xfId="1478"/>
    <cellStyle name="Accent1 3 11" xfId="1479"/>
    <cellStyle name="Accent1 3 12" xfId="1480"/>
    <cellStyle name="Accent1 3 13" xfId="1481"/>
    <cellStyle name="Accent1 3 14" xfId="1482"/>
    <cellStyle name="Accent1 3 15" xfId="1483"/>
    <cellStyle name="Accent1 3 16" xfId="1484"/>
    <cellStyle name="Accent1 3 17" xfId="1485"/>
    <cellStyle name="Accent1 3 2" xfId="1486"/>
    <cellStyle name="Accent1 3 3" xfId="1487"/>
    <cellStyle name="Accent1 3 4" xfId="1488"/>
    <cellStyle name="Accent1 3 5" xfId="1489"/>
    <cellStyle name="Accent1 3 6" xfId="1490"/>
    <cellStyle name="Accent1 3 7" xfId="1491"/>
    <cellStyle name="Accent1 3 8" xfId="1492"/>
    <cellStyle name="Accent1 3 9" xfId="1493"/>
    <cellStyle name="Accent2 2" xfId="252"/>
    <cellStyle name="Accent2 2 10" xfId="1494"/>
    <cellStyle name="Accent2 2 11" xfId="1495"/>
    <cellStyle name="Accent2 2 12" xfId="1496"/>
    <cellStyle name="Accent2 2 13" xfId="1497"/>
    <cellStyle name="Accent2 2 14" xfId="1498"/>
    <cellStyle name="Accent2 2 15" xfId="1499"/>
    <cellStyle name="Accent2 2 16" xfId="1500"/>
    <cellStyle name="Accent2 2 17" xfId="1501"/>
    <cellStyle name="Accent2 2 2" xfId="1502"/>
    <cellStyle name="Accent2 2 3" xfId="1503"/>
    <cellStyle name="Accent2 2 4" xfId="1504"/>
    <cellStyle name="Accent2 2 5" xfId="1505"/>
    <cellStyle name="Accent2 2 6" xfId="1506"/>
    <cellStyle name="Accent2 2 7" xfId="1507"/>
    <cellStyle name="Accent2 2 8" xfId="1508"/>
    <cellStyle name="Accent2 2 9" xfId="1509"/>
    <cellStyle name="Accent2 3 10" xfId="1510"/>
    <cellStyle name="Accent2 3 11" xfId="1511"/>
    <cellStyle name="Accent2 3 12" xfId="1512"/>
    <cellStyle name="Accent2 3 13" xfId="1513"/>
    <cellStyle name="Accent2 3 14" xfId="1514"/>
    <cellStyle name="Accent2 3 15" xfId="1515"/>
    <cellStyle name="Accent2 3 16" xfId="1516"/>
    <cellStyle name="Accent2 3 17" xfId="1517"/>
    <cellStyle name="Accent2 3 2" xfId="1518"/>
    <cellStyle name="Accent2 3 3" xfId="1519"/>
    <cellStyle name="Accent2 3 4" xfId="1520"/>
    <cellStyle name="Accent2 3 5" xfId="1521"/>
    <cellStyle name="Accent2 3 6" xfId="1522"/>
    <cellStyle name="Accent2 3 7" xfId="1523"/>
    <cellStyle name="Accent2 3 8" xfId="1524"/>
    <cellStyle name="Accent2 3 9" xfId="1525"/>
    <cellStyle name="Accent3 2" xfId="253"/>
    <cellStyle name="Accent3 2 10" xfId="1526"/>
    <cellStyle name="Accent3 2 11" xfId="1527"/>
    <cellStyle name="Accent3 2 12" xfId="1528"/>
    <cellStyle name="Accent3 2 13" xfId="1529"/>
    <cellStyle name="Accent3 2 14" xfId="1530"/>
    <cellStyle name="Accent3 2 15" xfId="1531"/>
    <cellStyle name="Accent3 2 16" xfId="1532"/>
    <cellStyle name="Accent3 2 17" xfId="1533"/>
    <cellStyle name="Accent3 2 2" xfId="1534"/>
    <cellStyle name="Accent3 2 3" xfId="1535"/>
    <cellStyle name="Accent3 2 4" xfId="1536"/>
    <cellStyle name="Accent3 2 5" xfId="1537"/>
    <cellStyle name="Accent3 2 6" xfId="1538"/>
    <cellStyle name="Accent3 2 7" xfId="1539"/>
    <cellStyle name="Accent3 2 8" xfId="1540"/>
    <cellStyle name="Accent3 2 9" xfId="1541"/>
    <cellStyle name="Accent3 3 10" xfId="1542"/>
    <cellStyle name="Accent3 3 11" xfId="1543"/>
    <cellStyle name="Accent3 3 12" xfId="1544"/>
    <cellStyle name="Accent3 3 13" xfId="1545"/>
    <cellStyle name="Accent3 3 14" xfId="1546"/>
    <cellStyle name="Accent3 3 15" xfId="1547"/>
    <cellStyle name="Accent3 3 16" xfId="1548"/>
    <cellStyle name="Accent3 3 17" xfId="1549"/>
    <cellStyle name="Accent3 3 2" xfId="1550"/>
    <cellStyle name="Accent3 3 3" xfId="1551"/>
    <cellStyle name="Accent3 3 4" xfId="1552"/>
    <cellStyle name="Accent3 3 5" xfId="1553"/>
    <cellStyle name="Accent3 3 6" xfId="1554"/>
    <cellStyle name="Accent3 3 7" xfId="1555"/>
    <cellStyle name="Accent3 3 8" xfId="1556"/>
    <cellStyle name="Accent3 3 9" xfId="1557"/>
    <cellStyle name="Accent4 2" xfId="254"/>
    <cellStyle name="Accent4 2 10" xfId="1558"/>
    <cellStyle name="Accent4 2 11" xfId="1559"/>
    <cellStyle name="Accent4 2 12" xfId="1560"/>
    <cellStyle name="Accent4 2 13" xfId="1561"/>
    <cellStyle name="Accent4 2 14" xfId="1562"/>
    <cellStyle name="Accent4 2 15" xfId="1563"/>
    <cellStyle name="Accent4 2 16" xfId="1564"/>
    <cellStyle name="Accent4 2 17" xfId="1565"/>
    <cellStyle name="Accent4 2 2" xfId="1566"/>
    <cellStyle name="Accent4 2 3" xfId="1567"/>
    <cellStyle name="Accent4 2 4" xfId="1568"/>
    <cellStyle name="Accent4 2 5" xfId="1569"/>
    <cellStyle name="Accent4 2 6" xfId="1570"/>
    <cellStyle name="Accent4 2 7" xfId="1571"/>
    <cellStyle name="Accent4 2 8" xfId="1572"/>
    <cellStyle name="Accent4 2 9" xfId="1573"/>
    <cellStyle name="Accent4 3 10" xfId="1574"/>
    <cellStyle name="Accent4 3 11" xfId="1575"/>
    <cellStyle name="Accent4 3 12" xfId="1576"/>
    <cellStyle name="Accent4 3 13" xfId="1577"/>
    <cellStyle name="Accent4 3 14" xfId="1578"/>
    <cellStyle name="Accent4 3 15" xfId="1579"/>
    <cellStyle name="Accent4 3 16" xfId="1580"/>
    <cellStyle name="Accent4 3 17" xfId="1581"/>
    <cellStyle name="Accent4 3 2" xfId="1582"/>
    <cellStyle name="Accent4 3 3" xfId="1583"/>
    <cellStyle name="Accent4 3 4" xfId="1584"/>
    <cellStyle name="Accent4 3 5" xfId="1585"/>
    <cellStyle name="Accent4 3 6" xfId="1586"/>
    <cellStyle name="Accent4 3 7" xfId="1587"/>
    <cellStyle name="Accent4 3 8" xfId="1588"/>
    <cellStyle name="Accent4 3 9" xfId="1589"/>
    <cellStyle name="Accent5 2" xfId="255"/>
    <cellStyle name="Accent5 2 10" xfId="1590"/>
    <cellStyle name="Accent5 2 11" xfId="1591"/>
    <cellStyle name="Accent5 2 12" xfId="1592"/>
    <cellStyle name="Accent5 2 13" xfId="1593"/>
    <cellStyle name="Accent5 2 14" xfId="1594"/>
    <cellStyle name="Accent5 2 15" xfId="1595"/>
    <cellStyle name="Accent5 2 16" xfId="1596"/>
    <cellStyle name="Accent5 2 17" xfId="1597"/>
    <cellStyle name="Accent5 2 2" xfId="1598"/>
    <cellStyle name="Accent5 2 3" xfId="1599"/>
    <cellStyle name="Accent5 2 4" xfId="1600"/>
    <cellStyle name="Accent5 2 5" xfId="1601"/>
    <cellStyle name="Accent5 2 6" xfId="1602"/>
    <cellStyle name="Accent5 2 7" xfId="1603"/>
    <cellStyle name="Accent5 2 8" xfId="1604"/>
    <cellStyle name="Accent5 2 9" xfId="1605"/>
    <cellStyle name="Accent5 3 10" xfId="1606"/>
    <cellStyle name="Accent5 3 11" xfId="1607"/>
    <cellStyle name="Accent5 3 12" xfId="1608"/>
    <cellStyle name="Accent5 3 13" xfId="1609"/>
    <cellStyle name="Accent5 3 14" xfId="1610"/>
    <cellStyle name="Accent5 3 15" xfId="1611"/>
    <cellStyle name="Accent5 3 16" xfId="1612"/>
    <cellStyle name="Accent5 3 17" xfId="1613"/>
    <cellStyle name="Accent5 3 2" xfId="1614"/>
    <cellStyle name="Accent5 3 3" xfId="1615"/>
    <cellStyle name="Accent5 3 4" xfId="1616"/>
    <cellStyle name="Accent5 3 5" xfId="1617"/>
    <cellStyle name="Accent5 3 6" xfId="1618"/>
    <cellStyle name="Accent5 3 7" xfId="1619"/>
    <cellStyle name="Accent5 3 8" xfId="1620"/>
    <cellStyle name="Accent5 3 9" xfId="1621"/>
    <cellStyle name="Accent6 2" xfId="256"/>
    <cellStyle name="Accent6 2 10" xfId="1622"/>
    <cellStyle name="Accent6 2 11" xfId="1623"/>
    <cellStyle name="Accent6 2 12" xfId="1624"/>
    <cellStyle name="Accent6 2 13" xfId="1625"/>
    <cellStyle name="Accent6 2 14" xfId="1626"/>
    <cellStyle name="Accent6 2 15" xfId="1627"/>
    <cellStyle name="Accent6 2 16" xfId="1628"/>
    <cellStyle name="Accent6 2 17" xfId="1629"/>
    <cellStyle name="Accent6 2 2" xfId="1630"/>
    <cellStyle name="Accent6 2 3" xfId="1631"/>
    <cellStyle name="Accent6 2 4" xfId="1632"/>
    <cellStyle name="Accent6 2 5" xfId="1633"/>
    <cellStyle name="Accent6 2 6" xfId="1634"/>
    <cellStyle name="Accent6 2 7" xfId="1635"/>
    <cellStyle name="Accent6 2 8" xfId="1636"/>
    <cellStyle name="Accent6 2 9" xfId="1637"/>
    <cellStyle name="Accent6 3 10" xfId="1638"/>
    <cellStyle name="Accent6 3 11" xfId="1639"/>
    <cellStyle name="Accent6 3 12" xfId="1640"/>
    <cellStyle name="Accent6 3 13" xfId="1641"/>
    <cellStyle name="Accent6 3 14" xfId="1642"/>
    <cellStyle name="Accent6 3 15" xfId="1643"/>
    <cellStyle name="Accent6 3 16" xfId="1644"/>
    <cellStyle name="Accent6 3 17" xfId="1645"/>
    <cellStyle name="Accent6 3 2" xfId="1646"/>
    <cellStyle name="Accent6 3 3" xfId="1647"/>
    <cellStyle name="Accent6 3 4" xfId="1648"/>
    <cellStyle name="Accent6 3 5" xfId="1649"/>
    <cellStyle name="Accent6 3 6" xfId="1650"/>
    <cellStyle name="Accent6 3 7" xfId="1651"/>
    <cellStyle name="Accent6 3 8" xfId="1652"/>
    <cellStyle name="Accent6 3 9" xfId="1653"/>
    <cellStyle name="Bad 2" xfId="259"/>
    <cellStyle name="Bad 2 10" xfId="1654"/>
    <cellStyle name="Bad 2 11" xfId="1655"/>
    <cellStyle name="Bad 2 12" xfId="1656"/>
    <cellStyle name="Bad 2 13" xfId="1657"/>
    <cellStyle name="Bad 2 14" xfId="1658"/>
    <cellStyle name="Bad 2 15" xfId="1659"/>
    <cellStyle name="Bad 2 16" xfId="1660"/>
    <cellStyle name="Bad 2 17" xfId="1661"/>
    <cellStyle name="Bad 2 2" xfId="1662"/>
    <cellStyle name="Bad 2 3" xfId="1663"/>
    <cellStyle name="Bad 2 4" xfId="1664"/>
    <cellStyle name="Bad 2 5" xfId="1665"/>
    <cellStyle name="Bad 2 6" xfId="1666"/>
    <cellStyle name="Bad 2 7" xfId="1667"/>
    <cellStyle name="Bad 2 8" xfId="1668"/>
    <cellStyle name="Bad 2 9" xfId="1669"/>
    <cellStyle name="Bad 3 10" xfId="1670"/>
    <cellStyle name="Bad 3 11" xfId="1671"/>
    <cellStyle name="Bad 3 12" xfId="1672"/>
    <cellStyle name="Bad 3 13" xfId="1673"/>
    <cellStyle name="Bad 3 14" xfId="1674"/>
    <cellStyle name="Bad 3 15" xfId="1675"/>
    <cellStyle name="Bad 3 16" xfId="1676"/>
    <cellStyle name="Bad 3 17" xfId="1677"/>
    <cellStyle name="Bad 3 2" xfId="1678"/>
    <cellStyle name="Bad 3 3" xfId="1679"/>
    <cellStyle name="Bad 3 4" xfId="1680"/>
    <cellStyle name="Bad 3 5" xfId="1681"/>
    <cellStyle name="Bad 3 6" xfId="1682"/>
    <cellStyle name="Bad 3 7" xfId="1683"/>
    <cellStyle name="Bad 3 8" xfId="1684"/>
    <cellStyle name="Bad 3 9" xfId="1685"/>
    <cellStyle name="Calcolo" xfId="187"/>
    <cellStyle name="Calcolo 2" xfId="318"/>
    <cellStyle name="Calcolo 2 2" xfId="1686"/>
    <cellStyle name="Calcolo 2 2 2" xfId="2590"/>
    <cellStyle name="Calcolo 3" xfId="1687"/>
    <cellStyle name="Calcolo 4" xfId="2591"/>
    <cellStyle name="Calculation 2" xfId="258"/>
    <cellStyle name="Calculation 2 10" xfId="1688"/>
    <cellStyle name="Calculation 2 11" xfId="1689"/>
    <cellStyle name="Calculation 2 12" xfId="1690"/>
    <cellStyle name="Calculation 2 13" xfId="1691"/>
    <cellStyle name="Calculation 2 14" xfId="1692"/>
    <cellStyle name="Calculation 2 15" xfId="1693"/>
    <cellStyle name="Calculation 2 16" xfId="1694"/>
    <cellStyle name="Calculation 2 17" xfId="1695"/>
    <cellStyle name="Calculation 2 2" xfId="1696"/>
    <cellStyle name="Calculation 2 3" xfId="1697"/>
    <cellStyle name="Calculation 2 4" xfId="1698"/>
    <cellStyle name="Calculation 2 5" xfId="1699"/>
    <cellStyle name="Calculation 2 6" xfId="1700"/>
    <cellStyle name="Calculation 2 7" xfId="1701"/>
    <cellStyle name="Calculation 2 8" xfId="1702"/>
    <cellStyle name="Calculation 2 9" xfId="1703"/>
    <cellStyle name="Calculation 3 10" xfId="1704"/>
    <cellStyle name="Calculation 3 11" xfId="1705"/>
    <cellStyle name="Calculation 3 12" xfId="1706"/>
    <cellStyle name="Calculation 3 13" xfId="1707"/>
    <cellStyle name="Calculation 3 14" xfId="1708"/>
    <cellStyle name="Calculation 3 15" xfId="1709"/>
    <cellStyle name="Calculation 3 16" xfId="1710"/>
    <cellStyle name="Calculation 3 17" xfId="1711"/>
    <cellStyle name="Calculation 3 2" xfId="1712"/>
    <cellStyle name="Calculation 3 3" xfId="1713"/>
    <cellStyle name="Calculation 3 4" xfId="1714"/>
    <cellStyle name="Calculation 3 5" xfId="1715"/>
    <cellStyle name="Calculation 3 6" xfId="1716"/>
    <cellStyle name="Calculation 3 7" xfId="1717"/>
    <cellStyle name="Calculation 3 8" xfId="1718"/>
    <cellStyle name="Calculation 3 9" xfId="1719"/>
    <cellStyle name="Cella collegata" xfId="188"/>
    <cellStyle name="Cella collegata 2" xfId="319"/>
    <cellStyle name="Cella collegata 2 2" xfId="1720"/>
    <cellStyle name="Cella collegata 2 2 2" xfId="2592"/>
    <cellStyle name="Cella collegata 3" xfId="1721"/>
    <cellStyle name="Cella collegata 4" xfId="2593"/>
    <cellStyle name="Cella da controllare" xfId="189"/>
    <cellStyle name="Cella da controllare 2" xfId="320"/>
    <cellStyle name="Cella da controllare 2 2" xfId="1722"/>
    <cellStyle name="Cella da controllare 2 2 2" xfId="2594"/>
    <cellStyle name="Cella da controllare 3" xfId="1723"/>
    <cellStyle name="Cella da controllare 4" xfId="2595"/>
    <cellStyle name="cf1" xfId="381"/>
    <cellStyle name="Check Cell 2" xfId="268"/>
    <cellStyle name="Check Cell 2 10" xfId="1724"/>
    <cellStyle name="Check Cell 2 11" xfId="1725"/>
    <cellStyle name="Check Cell 2 12" xfId="1726"/>
    <cellStyle name="Check Cell 2 13" xfId="1727"/>
    <cellStyle name="Check Cell 2 14" xfId="1728"/>
    <cellStyle name="Check Cell 2 15" xfId="1729"/>
    <cellStyle name="Check Cell 2 16" xfId="1730"/>
    <cellStyle name="Check Cell 2 17" xfId="1731"/>
    <cellStyle name="Check Cell 2 2" xfId="1732"/>
    <cellStyle name="Check Cell 2 3" xfId="1733"/>
    <cellStyle name="Check Cell 2 4" xfId="1734"/>
    <cellStyle name="Check Cell 2 5" xfId="1735"/>
    <cellStyle name="Check Cell 2 6" xfId="1736"/>
    <cellStyle name="Check Cell 2 7" xfId="1737"/>
    <cellStyle name="Check Cell 2 8" xfId="1738"/>
    <cellStyle name="Check Cell 2 9" xfId="1739"/>
    <cellStyle name="Check Cell 3 10" xfId="1740"/>
    <cellStyle name="Check Cell 3 11" xfId="1741"/>
    <cellStyle name="Check Cell 3 12" xfId="1742"/>
    <cellStyle name="Check Cell 3 13" xfId="1743"/>
    <cellStyle name="Check Cell 3 14" xfId="1744"/>
    <cellStyle name="Check Cell 3 15" xfId="1745"/>
    <cellStyle name="Check Cell 3 16" xfId="1746"/>
    <cellStyle name="Check Cell 3 17" xfId="1747"/>
    <cellStyle name="Check Cell 3 2" xfId="1748"/>
    <cellStyle name="Check Cell 3 3" xfId="1749"/>
    <cellStyle name="Check Cell 3 4" xfId="1750"/>
    <cellStyle name="Check Cell 3 5" xfId="1751"/>
    <cellStyle name="Check Cell 3 6" xfId="1752"/>
    <cellStyle name="Check Cell 3 7" xfId="1753"/>
    <cellStyle name="Check Cell 3 8" xfId="1754"/>
    <cellStyle name="Check Cell 3 9" xfId="1755"/>
    <cellStyle name="Colore 1" xfId="190"/>
    <cellStyle name="Colore 1 2" xfId="321"/>
    <cellStyle name="Colore 1 2 2" xfId="1756"/>
    <cellStyle name="Colore 1 2 2 2" xfId="2596"/>
    <cellStyle name="Colore 1 3" xfId="1757"/>
    <cellStyle name="Colore 1 4" xfId="2597"/>
    <cellStyle name="Colore 2" xfId="191"/>
    <cellStyle name="Colore 2 2" xfId="322"/>
    <cellStyle name="Colore 2 2 2" xfId="1758"/>
    <cellStyle name="Colore 2 2 2 2" xfId="2598"/>
    <cellStyle name="Colore 2 3" xfId="1759"/>
    <cellStyle name="Colore 2 4" xfId="2599"/>
    <cellStyle name="Colore 3" xfId="192"/>
    <cellStyle name="Colore 3 2" xfId="323"/>
    <cellStyle name="Colore 3 2 2" xfId="1760"/>
    <cellStyle name="Colore 3 2 2 2" xfId="2600"/>
    <cellStyle name="Colore 3 3" xfId="1761"/>
    <cellStyle name="Colore 3 4" xfId="2601"/>
    <cellStyle name="Colore 4" xfId="193"/>
    <cellStyle name="Colore 4 2" xfId="324"/>
    <cellStyle name="Colore 4 2 2" xfId="1762"/>
    <cellStyle name="Colore 4 2 2 2" xfId="2602"/>
    <cellStyle name="Colore 4 3" xfId="1763"/>
    <cellStyle name="Colore 4 4" xfId="2603"/>
    <cellStyle name="Colore 5" xfId="194"/>
    <cellStyle name="Colore 5 2" xfId="325"/>
    <cellStyle name="Colore 5 2 2" xfId="1764"/>
    <cellStyle name="Colore 5 2 2 2" xfId="2604"/>
    <cellStyle name="Colore 5 3" xfId="1765"/>
    <cellStyle name="Colore 5 4" xfId="2605"/>
    <cellStyle name="Colore 6" xfId="195"/>
    <cellStyle name="Colore 6 2" xfId="326"/>
    <cellStyle name="Colore 6 2 2" xfId="1766"/>
    <cellStyle name="Colore 6 2 2 2" xfId="2606"/>
    <cellStyle name="Colore 6 3" xfId="1767"/>
    <cellStyle name="Colore 6 4" xfId="2607"/>
    <cellStyle name="Comma" xfId="52" builtinId="3"/>
    <cellStyle name="Comma 2" xfId="274"/>
    <cellStyle name="Comma 2 10" xfId="2973"/>
    <cellStyle name="Comma 2 10 2" xfId="11562"/>
    <cellStyle name="Comma 2 11" xfId="3033"/>
    <cellStyle name="Comma 2 11 2" xfId="11622"/>
    <cellStyle name="Comma 2 12" xfId="11442"/>
    <cellStyle name="Comma 2 13" xfId="2863"/>
    <cellStyle name="Comma 2 2" xfId="1769"/>
    <cellStyle name="Comma 2 2 2" xfId="1770"/>
    <cellStyle name="Comma 2 2 2 2" xfId="2410"/>
    <cellStyle name="Comma 2 2 2 2 2" xfId="2608"/>
    <cellStyle name="Comma 2 2 2 2 2 2" xfId="2964"/>
    <cellStyle name="Comma 2 2 2 2 2 2 2" xfId="11553"/>
    <cellStyle name="Comma 2 2 2 2 2 3" xfId="3024"/>
    <cellStyle name="Comma 2 2 2 2 2 3 2" xfId="11613"/>
    <cellStyle name="Comma 2 2 2 2 2 4" xfId="3084"/>
    <cellStyle name="Comma 2 2 2 2 2 4 2" xfId="11673"/>
    <cellStyle name="Comma 2 2 2 2 2 5" xfId="11493"/>
    <cellStyle name="Comma 2 2 2 2 2 6" xfId="2904"/>
    <cellStyle name="Comma 2 2 2 2 3" xfId="2886"/>
    <cellStyle name="Comma 2 2 2 2 3 2" xfId="2944"/>
    <cellStyle name="Comma 2 2 2 2 3 2 2" xfId="11533"/>
    <cellStyle name="Comma 2 2 2 2 3 2 3" xfId="12257"/>
    <cellStyle name="Comma 2 2 2 2 3 2 4" xfId="11998"/>
    <cellStyle name="Comma 2 2 2 2 3 3" xfId="3004"/>
    <cellStyle name="Comma 2 2 2 2 3 3 2" xfId="11593"/>
    <cellStyle name="Comma 2 2 2 2 3 4" xfId="3064"/>
    <cellStyle name="Comma 2 2 2 2 3 4 2" xfId="11653"/>
    <cellStyle name="Comma 2 2 2 2 3 5" xfId="11473"/>
    <cellStyle name="Comma 2 2 2 2 3 6" xfId="12252"/>
    <cellStyle name="Comma 2 2 2 2 3 7" xfId="11997"/>
    <cellStyle name="Comma 2 2 2 2 4" xfId="2924"/>
    <cellStyle name="Comma 2 2 2 2 4 2" xfId="11513"/>
    <cellStyle name="Comma 2 2 2 2 4 3" xfId="12256"/>
    <cellStyle name="Comma 2 2 2 2 4 4" xfId="11999"/>
    <cellStyle name="Comma 2 2 2 2 5" xfId="2984"/>
    <cellStyle name="Comma 2 2 2 2 5 2" xfId="11573"/>
    <cellStyle name="Comma 2 2 2 2 5 3" xfId="12264"/>
    <cellStyle name="Comma 2 2 2 2 5 4" xfId="12000"/>
    <cellStyle name="Comma 2 2 2 2 6" xfId="3044"/>
    <cellStyle name="Comma 2 2 2 2 6 2" xfId="11633"/>
    <cellStyle name="Comma 2 2 2 2 7" xfId="11453"/>
    <cellStyle name="Comma 2 2 2 2 8" xfId="2871"/>
    <cellStyle name="Comma 2 2 2 2 9" xfId="11996"/>
    <cellStyle name="Comma 2 2 2 3" xfId="2609"/>
    <cellStyle name="Comma 2 2 2 3 2" xfId="2954"/>
    <cellStyle name="Comma 2 2 2 3 2 2" xfId="11543"/>
    <cellStyle name="Comma 2 2 2 3 2 3" xfId="12259"/>
    <cellStyle name="Comma 2 2 2 3 2 4" xfId="12001"/>
    <cellStyle name="Comma 2 2 2 3 3" xfId="3014"/>
    <cellStyle name="Comma 2 2 2 3 3 2" xfId="11603"/>
    <cellStyle name="Comma 2 2 2 3 4" xfId="3074"/>
    <cellStyle name="Comma 2 2 2 3 4 2" xfId="11663"/>
    <cellStyle name="Comma 2 2 2 3 5" xfId="11483"/>
    <cellStyle name="Comma 2 2 2 3 6" xfId="2896"/>
    <cellStyle name="Comma 2 2 2 4" xfId="2877"/>
    <cellStyle name="Comma 2 2 2 4 2" xfId="2934"/>
    <cellStyle name="Comma 2 2 2 4 2 2" xfId="11523"/>
    <cellStyle name="Comma 2 2 2 4 3" xfId="2994"/>
    <cellStyle name="Comma 2 2 2 4 3 2" xfId="11583"/>
    <cellStyle name="Comma 2 2 2 4 4" xfId="3054"/>
    <cellStyle name="Comma 2 2 2 4 4 2" xfId="11643"/>
    <cellStyle name="Comma 2 2 2 4 5" xfId="11463"/>
    <cellStyle name="Comma 2 2 2 4 6" xfId="12248"/>
    <cellStyle name="Comma 2 2 2 4 7" xfId="12002"/>
    <cellStyle name="Comma 2 2 2 5" xfId="2914"/>
    <cellStyle name="Comma 2 2 2 5 2" xfId="11503"/>
    <cellStyle name="Comma 2 2 2 6" xfId="2974"/>
    <cellStyle name="Comma 2 2 2 6 2" xfId="11563"/>
    <cellStyle name="Comma 2 2 2 7" xfId="3034"/>
    <cellStyle name="Comma 2 2 2 7 2" xfId="11623"/>
    <cellStyle name="Comma 2 2 2 8" xfId="11443"/>
    <cellStyle name="Comma 2 2 2 9" xfId="2864"/>
    <cellStyle name="Comma 2 2 3" xfId="2409"/>
    <cellStyle name="Comma 2 2 3 2" xfId="2817"/>
    <cellStyle name="Comma 2 2 3 2 2" xfId="12005"/>
    <cellStyle name="Comma 2 2 3 2 2 2" xfId="12006"/>
    <cellStyle name="Comma 2 2 3 2 3" xfId="12007"/>
    <cellStyle name="Comma 2 2 3 2 4" xfId="12008"/>
    <cellStyle name="Comma 2 2 3 2 5" xfId="12004"/>
    <cellStyle name="Comma 2 2 3 3" xfId="12009"/>
    <cellStyle name="Comma 2 2 3 3 2" xfId="12010"/>
    <cellStyle name="Comma 2 2 3 4" xfId="12011"/>
    <cellStyle name="Comma 2 2 3 4 2" xfId="12012"/>
    <cellStyle name="Comma 2 2 3 5" xfId="12013"/>
    <cellStyle name="Comma 2 2 3 6" xfId="12014"/>
    <cellStyle name="Comma 2 2 3 7" xfId="12003"/>
    <cellStyle name="Comma 2 2 4" xfId="11683"/>
    <cellStyle name="Comma 2 3" xfId="1771"/>
    <cellStyle name="Comma 2 3 2" xfId="1772"/>
    <cellStyle name="Comma 2 3 2 2" xfId="2411"/>
    <cellStyle name="Comma 2 3 2 2 2" xfId="2818"/>
    <cellStyle name="Comma 2 3 2 2 2 2" xfId="12017"/>
    <cellStyle name="Comma 2 3 2 2 2 2 2" xfId="12018"/>
    <cellStyle name="Comma 2 3 2 2 2 3" xfId="12019"/>
    <cellStyle name="Comma 2 3 2 2 2 4" xfId="12020"/>
    <cellStyle name="Comma 2 3 2 2 2 5" xfId="12016"/>
    <cellStyle name="Comma 2 3 2 2 3" xfId="12021"/>
    <cellStyle name="Comma 2 3 2 2 3 2" xfId="12022"/>
    <cellStyle name="Comma 2 3 2 2 4" xfId="12023"/>
    <cellStyle name="Comma 2 3 2 2 5" xfId="12024"/>
    <cellStyle name="Comma 2 3 2 2 6" xfId="12015"/>
    <cellStyle name="Comma 2 3 3" xfId="2610"/>
    <cellStyle name="Comma 2 3 3 2" xfId="2905"/>
    <cellStyle name="Comma 2 3 3 2 2" xfId="2965"/>
    <cellStyle name="Comma 2 3 3 2 2 2" xfId="11554"/>
    <cellStyle name="Comma 2 3 3 2 3" xfId="3025"/>
    <cellStyle name="Comma 2 3 3 2 3 2" xfId="11614"/>
    <cellStyle name="Comma 2 3 3 2 4" xfId="3085"/>
    <cellStyle name="Comma 2 3 3 2 4 2" xfId="11674"/>
    <cellStyle name="Comma 2 3 3 2 5" xfId="11494"/>
    <cellStyle name="Comma 2 3 3 3" xfId="2887"/>
    <cellStyle name="Comma 2 3 3 3 2" xfId="2945"/>
    <cellStyle name="Comma 2 3 3 3 2 2" xfId="11534"/>
    <cellStyle name="Comma 2 3 3 3 3" xfId="3005"/>
    <cellStyle name="Comma 2 3 3 3 3 2" xfId="11594"/>
    <cellStyle name="Comma 2 3 3 3 4" xfId="3065"/>
    <cellStyle name="Comma 2 3 3 3 4 2" xfId="11654"/>
    <cellStyle name="Comma 2 3 3 3 5" xfId="11474"/>
    <cellStyle name="Comma 2 3 3 4" xfId="2925"/>
    <cellStyle name="Comma 2 3 3 4 2" xfId="11514"/>
    <cellStyle name="Comma 2 3 3 5" xfId="2985"/>
    <cellStyle name="Comma 2 3 3 5 2" xfId="11574"/>
    <cellStyle name="Comma 2 3 3 6" xfId="3045"/>
    <cellStyle name="Comma 2 3 3 6 2" xfId="11634"/>
    <cellStyle name="Comma 2 3 3 7" xfId="11454"/>
    <cellStyle name="Comma 2 3 4" xfId="2897"/>
    <cellStyle name="Comma 2 3 4 2" xfId="2955"/>
    <cellStyle name="Comma 2 3 4 2 2" xfId="11544"/>
    <cellStyle name="Comma 2 3 4 3" xfId="3015"/>
    <cellStyle name="Comma 2 3 4 3 2" xfId="11604"/>
    <cellStyle name="Comma 2 3 4 4" xfId="3075"/>
    <cellStyle name="Comma 2 3 4 4 2" xfId="11664"/>
    <cellStyle name="Comma 2 3 4 5" xfId="11484"/>
    <cellStyle name="Comma 2 3 5" xfId="2878"/>
    <cellStyle name="Comma 2 3 5 2" xfId="2935"/>
    <cellStyle name="Comma 2 3 5 2 2" xfId="11524"/>
    <cellStyle name="Comma 2 3 5 3" xfId="2995"/>
    <cellStyle name="Comma 2 3 5 3 2" xfId="11584"/>
    <cellStyle name="Comma 2 3 5 4" xfId="3055"/>
    <cellStyle name="Comma 2 3 5 4 2" xfId="11644"/>
    <cellStyle name="Comma 2 3 5 5" xfId="11464"/>
    <cellStyle name="Comma 2 3 6" xfId="2915"/>
    <cellStyle name="Comma 2 3 6 2" xfId="11504"/>
    <cellStyle name="Comma 2 3 7" xfId="2975"/>
    <cellStyle name="Comma 2 3 7 2" xfId="11564"/>
    <cellStyle name="Comma 2 3 8" xfId="3035"/>
    <cellStyle name="Comma 2 3 8 2" xfId="11624"/>
    <cellStyle name="Comma 2 3 9" xfId="11444"/>
    <cellStyle name="Comma 2 4" xfId="1773"/>
    <cellStyle name="Comma 2 4 2" xfId="2611"/>
    <cellStyle name="Comma 2 4 2 2" xfId="2906"/>
    <cellStyle name="Comma 2 4 2 2 2" xfId="2966"/>
    <cellStyle name="Comma 2 4 2 2 2 2" xfId="11555"/>
    <cellStyle name="Comma 2 4 2 2 3" xfId="3026"/>
    <cellStyle name="Comma 2 4 2 2 3 2" xfId="11615"/>
    <cellStyle name="Comma 2 4 2 2 4" xfId="3086"/>
    <cellStyle name="Comma 2 4 2 2 4 2" xfId="11675"/>
    <cellStyle name="Comma 2 4 2 2 5" xfId="11495"/>
    <cellStyle name="Comma 2 4 2 3" xfId="2888"/>
    <cellStyle name="Comma 2 4 2 3 2" xfId="2946"/>
    <cellStyle name="Comma 2 4 2 3 2 2" xfId="11535"/>
    <cellStyle name="Comma 2 4 2 3 3" xfId="3006"/>
    <cellStyle name="Comma 2 4 2 3 3 2" xfId="11595"/>
    <cellStyle name="Comma 2 4 2 3 4" xfId="3066"/>
    <cellStyle name="Comma 2 4 2 3 4 2" xfId="11655"/>
    <cellStyle name="Comma 2 4 2 3 5" xfId="11475"/>
    <cellStyle name="Comma 2 4 2 4" xfId="2926"/>
    <cellStyle name="Comma 2 4 2 4 2" xfId="11515"/>
    <cellStyle name="Comma 2 4 2 5" xfId="2986"/>
    <cellStyle name="Comma 2 4 2 5 2" xfId="11575"/>
    <cellStyle name="Comma 2 4 2 6" xfId="3046"/>
    <cellStyle name="Comma 2 4 2 6 2" xfId="11635"/>
    <cellStyle name="Comma 2 4 2 7" xfId="11455"/>
    <cellStyle name="Comma 2 4 2 8" xfId="2872"/>
    <cellStyle name="Comma 2 4 3" xfId="2612"/>
    <cellStyle name="Comma 2 4 3 2" xfId="2956"/>
    <cellStyle name="Comma 2 4 3 2 2" xfId="11545"/>
    <cellStyle name="Comma 2 4 3 2 3" xfId="12260"/>
    <cellStyle name="Comma 2 4 3 2 4" xfId="12025"/>
    <cellStyle name="Comma 2 4 3 3" xfId="3016"/>
    <cellStyle name="Comma 2 4 3 3 2" xfId="11605"/>
    <cellStyle name="Comma 2 4 3 4" xfId="3076"/>
    <cellStyle name="Comma 2 4 3 4 2" xfId="11665"/>
    <cellStyle name="Comma 2 4 3 5" xfId="11485"/>
    <cellStyle name="Comma 2 4 3 6" xfId="2898"/>
    <cellStyle name="Comma 2 4 4" xfId="2879"/>
    <cellStyle name="Comma 2 4 4 2" xfId="2936"/>
    <cellStyle name="Comma 2 4 4 2 2" xfId="11525"/>
    <cellStyle name="Comma 2 4 4 3" xfId="2996"/>
    <cellStyle name="Comma 2 4 4 3 2" xfId="11585"/>
    <cellStyle name="Comma 2 4 4 4" xfId="3056"/>
    <cellStyle name="Comma 2 4 4 4 2" xfId="11645"/>
    <cellStyle name="Comma 2 4 4 5" xfId="11465"/>
    <cellStyle name="Comma 2 4 4 6" xfId="12249"/>
    <cellStyle name="Comma 2 4 4 7" xfId="12026"/>
    <cellStyle name="Comma 2 4 5" xfId="2916"/>
    <cellStyle name="Comma 2 4 5 2" xfId="11505"/>
    <cellStyle name="Comma 2 4 6" xfId="2976"/>
    <cellStyle name="Comma 2 4 6 2" xfId="11565"/>
    <cellStyle name="Comma 2 4 7" xfId="3036"/>
    <cellStyle name="Comma 2 4 7 2" xfId="11625"/>
    <cellStyle name="Comma 2 4 8" xfId="11445"/>
    <cellStyle name="Comma 2 4 9" xfId="2865"/>
    <cellStyle name="Comma 2 5" xfId="1774"/>
    <cellStyle name="Comma 2 5 2" xfId="2613"/>
    <cellStyle name="Comma 2 6" xfId="1768"/>
    <cellStyle name="Comma 2 6 2" xfId="2903"/>
    <cellStyle name="Comma 2 6 2 2" xfId="2963"/>
    <cellStyle name="Comma 2 6 2 2 2" xfId="11552"/>
    <cellStyle name="Comma 2 6 2 3" xfId="3023"/>
    <cellStyle name="Comma 2 6 2 3 2" xfId="11612"/>
    <cellStyle name="Comma 2 6 2 4" xfId="3083"/>
    <cellStyle name="Comma 2 6 2 4 2" xfId="11672"/>
    <cellStyle name="Comma 2 6 2 5" xfId="11492"/>
    <cellStyle name="Comma 2 6 2 6" xfId="12254"/>
    <cellStyle name="Comma 2 6 2 7" xfId="12027"/>
    <cellStyle name="Comma 2 6 3" xfId="2885"/>
    <cellStyle name="Comma 2 6 3 2" xfId="2943"/>
    <cellStyle name="Comma 2 6 3 2 2" xfId="11532"/>
    <cellStyle name="Comma 2 6 3 3" xfId="3003"/>
    <cellStyle name="Comma 2 6 3 3 2" xfId="11592"/>
    <cellStyle name="Comma 2 6 3 4" xfId="3063"/>
    <cellStyle name="Comma 2 6 3 4 2" xfId="11652"/>
    <cellStyle name="Comma 2 6 3 5" xfId="11472"/>
    <cellStyle name="Comma 2 6 4" xfId="2923"/>
    <cellStyle name="Comma 2 6 4 2" xfId="11512"/>
    <cellStyle name="Comma 2 6 5" xfId="2983"/>
    <cellStyle name="Comma 2 6 5 2" xfId="11572"/>
    <cellStyle name="Comma 2 6 6" xfId="3043"/>
    <cellStyle name="Comma 2 6 6 2" xfId="11632"/>
    <cellStyle name="Comma 2 6 7" xfId="11452"/>
    <cellStyle name="Comma 2 6 8" xfId="2870"/>
    <cellStyle name="Comma 2 7" xfId="2408"/>
    <cellStyle name="Comma 2 7 2" xfId="2614"/>
    <cellStyle name="Comma 2 7 2 2" xfId="11542"/>
    <cellStyle name="Comma 2 7 2 3" xfId="2953"/>
    <cellStyle name="Comma 2 7 3" xfId="3013"/>
    <cellStyle name="Comma 2 7 3 2" xfId="11602"/>
    <cellStyle name="Comma 2 7 3 2 2" xfId="12287"/>
    <cellStyle name="Comma 2 7 3 2 3" xfId="12030"/>
    <cellStyle name="Comma 2 7 3 3" xfId="12266"/>
    <cellStyle name="Comma 2 7 3 4" xfId="12029"/>
    <cellStyle name="Comma 2 7 4" xfId="3073"/>
    <cellStyle name="Comma 2 7 4 2" xfId="11662"/>
    <cellStyle name="Comma 2 7 4 2 2" xfId="12289"/>
    <cellStyle name="Comma 2 7 4 2 3" xfId="12032"/>
    <cellStyle name="Comma 2 7 4 3" xfId="12271"/>
    <cellStyle name="Comma 2 7 4 4" xfId="12031"/>
    <cellStyle name="Comma 2 7 5" xfId="11482"/>
    <cellStyle name="Comma 2 7 5 2" xfId="12283"/>
    <cellStyle name="Comma 2 7 5 3" xfId="12033"/>
    <cellStyle name="Comma 2 7 6" xfId="2895"/>
    <cellStyle name="Comma 2 7 6 2" xfId="12034"/>
    <cellStyle name="Comma 2 7 7" xfId="12253"/>
    <cellStyle name="Comma 2 7 8" xfId="12028"/>
    <cellStyle name="Comma 2 8" xfId="2876"/>
    <cellStyle name="Comma 2 8 2" xfId="2933"/>
    <cellStyle name="Comma 2 8 2 2" xfId="11522"/>
    <cellStyle name="Comma 2 8 3" xfId="2993"/>
    <cellStyle name="Comma 2 8 3 2" xfId="11582"/>
    <cellStyle name="Comma 2 8 4" xfId="3053"/>
    <cellStyle name="Comma 2 8 4 2" xfId="11642"/>
    <cellStyle name="Comma 2 8 5" xfId="11462"/>
    <cellStyle name="Comma 2 8 6" xfId="12247"/>
    <cellStyle name="Comma 2 8 7" xfId="12035"/>
    <cellStyle name="Comma 2 9" xfId="2913"/>
    <cellStyle name="Comma 2 9 2" xfId="11502"/>
    <cellStyle name="Comma 2 9 3" xfId="12255"/>
    <cellStyle name="Comma 2 9 4" xfId="12036"/>
    <cellStyle name="Comma 3" xfId="275"/>
    <cellStyle name="Comma 3 2" xfId="1776"/>
    <cellStyle name="Comma 3 2 2" xfId="1777"/>
    <cellStyle name="Comma 3 2 2 2" xfId="2615"/>
    <cellStyle name="Comma 3 2 2 2 2" xfId="2908"/>
    <cellStyle name="Comma 3 2 2 2 2 2" xfId="2968"/>
    <cellStyle name="Comma 3 2 2 2 2 2 2" xfId="11557"/>
    <cellStyle name="Comma 3 2 2 2 2 3" xfId="3028"/>
    <cellStyle name="Comma 3 2 2 2 2 3 2" xfId="11617"/>
    <cellStyle name="Comma 3 2 2 2 2 4" xfId="3088"/>
    <cellStyle name="Comma 3 2 2 2 2 4 2" xfId="11677"/>
    <cellStyle name="Comma 3 2 2 2 2 5" xfId="11497"/>
    <cellStyle name="Comma 3 2 2 2 3" xfId="2890"/>
    <cellStyle name="Comma 3 2 2 2 3 2" xfId="2948"/>
    <cellStyle name="Comma 3 2 2 2 3 2 2" xfId="11537"/>
    <cellStyle name="Comma 3 2 2 2 3 3" xfId="3008"/>
    <cellStyle name="Comma 3 2 2 2 3 3 2" xfId="11597"/>
    <cellStyle name="Comma 3 2 2 2 3 4" xfId="3068"/>
    <cellStyle name="Comma 3 2 2 2 3 4 2" xfId="11657"/>
    <cellStyle name="Comma 3 2 2 2 3 5" xfId="11477"/>
    <cellStyle name="Comma 3 2 2 2 4" xfId="2928"/>
    <cellStyle name="Comma 3 2 2 2 4 2" xfId="11517"/>
    <cellStyle name="Comma 3 2 2 2 5" xfId="2988"/>
    <cellStyle name="Comma 3 2 2 2 5 2" xfId="11577"/>
    <cellStyle name="Comma 3 2 2 2 6" xfId="3048"/>
    <cellStyle name="Comma 3 2 2 2 6 2" xfId="11637"/>
    <cellStyle name="Comma 3 2 2 2 7" xfId="11457"/>
    <cellStyle name="Comma 3 2 2 3" xfId="2899"/>
    <cellStyle name="Comma 3 2 2 3 2" xfId="2958"/>
    <cellStyle name="Comma 3 2 2 3 2 2" xfId="11547"/>
    <cellStyle name="Comma 3 2 2 3 3" xfId="3018"/>
    <cellStyle name="Comma 3 2 2 3 3 2" xfId="11607"/>
    <cellStyle name="Comma 3 2 2 3 4" xfId="3078"/>
    <cellStyle name="Comma 3 2 2 3 4 2" xfId="11667"/>
    <cellStyle name="Comma 3 2 2 3 5" xfId="11487"/>
    <cellStyle name="Comma 3 2 2 4" xfId="2881"/>
    <cellStyle name="Comma 3 2 2 4 2" xfId="2938"/>
    <cellStyle name="Comma 3 2 2 4 2 2" xfId="11527"/>
    <cellStyle name="Comma 3 2 2 4 3" xfId="2998"/>
    <cellStyle name="Comma 3 2 2 4 3 2" xfId="11587"/>
    <cellStyle name="Comma 3 2 2 4 4" xfId="3058"/>
    <cellStyle name="Comma 3 2 2 4 4 2" xfId="11647"/>
    <cellStyle name="Comma 3 2 2 4 5" xfId="11467"/>
    <cellStyle name="Comma 3 2 2 5" xfId="2918"/>
    <cellStyle name="Comma 3 2 2 5 2" xfId="11507"/>
    <cellStyle name="Comma 3 2 2 6" xfId="2978"/>
    <cellStyle name="Comma 3 2 2 6 2" xfId="11567"/>
    <cellStyle name="Comma 3 2 2 7" xfId="3038"/>
    <cellStyle name="Comma 3 2 2 7 2" xfId="11627"/>
    <cellStyle name="Comma 3 2 2 8" xfId="11447"/>
    <cellStyle name="Comma 3 2 3" xfId="2412"/>
    <cellStyle name="Comma 3 2 3 2" xfId="12038"/>
    <cellStyle name="Comma 3 2 3 2 2" xfId="12039"/>
    <cellStyle name="Comma 3 2 3 3" xfId="12040"/>
    <cellStyle name="Comma 3 2 3 4" xfId="12041"/>
    <cellStyle name="Comma 3 2 3 5" xfId="12037"/>
    <cellStyle name="Comma 3 3" xfId="1775"/>
    <cellStyle name="Comma 3 3 2" xfId="2413"/>
    <cellStyle name="Comma 3 3 2 2" xfId="2967"/>
    <cellStyle name="Comma 3 3 2 2 2" xfId="11556"/>
    <cellStyle name="Comma 3 3 2 2 2 2" xfId="12285"/>
    <cellStyle name="Comma 3 3 2 2 2 3" xfId="12044"/>
    <cellStyle name="Comma 3 3 2 2 3" xfId="12263"/>
    <cellStyle name="Comma 3 3 2 2 4" xfId="12043"/>
    <cellStyle name="Comma 3 3 2 3" xfId="3027"/>
    <cellStyle name="Comma 3 3 2 3 2" xfId="11616"/>
    <cellStyle name="Comma 3 3 2 3 3" xfId="12267"/>
    <cellStyle name="Comma 3 3 2 3 4" xfId="12045"/>
    <cellStyle name="Comma 3 3 2 4" xfId="3087"/>
    <cellStyle name="Comma 3 3 2 4 2" xfId="11676"/>
    <cellStyle name="Comma 3 3 2 4 3" xfId="12272"/>
    <cellStyle name="Comma 3 3 2 4 4" xfId="12046"/>
    <cellStyle name="Comma 3 3 2 5" xfId="11496"/>
    <cellStyle name="Comma 3 3 2 6" xfId="2907"/>
    <cellStyle name="Comma 3 3 2 7" xfId="12042"/>
    <cellStyle name="Comma 3 3 3" xfId="2889"/>
    <cellStyle name="Comma 3 3 3 2" xfId="2947"/>
    <cellStyle name="Comma 3 3 3 2 2" xfId="11536"/>
    <cellStyle name="Comma 3 3 3 3" xfId="3007"/>
    <cellStyle name="Comma 3 3 3 3 2" xfId="11596"/>
    <cellStyle name="Comma 3 3 3 4" xfId="3067"/>
    <cellStyle name="Comma 3 3 3 4 2" xfId="11656"/>
    <cellStyle name="Comma 3 3 3 5" xfId="11476"/>
    <cellStyle name="Comma 3 3 4" xfId="2927"/>
    <cellStyle name="Comma 3 3 4 2" xfId="11516"/>
    <cellStyle name="Comma 3 3 5" xfId="2987"/>
    <cellStyle name="Comma 3 3 5 2" xfId="11576"/>
    <cellStyle name="Comma 3 3 6" xfId="3047"/>
    <cellStyle name="Comma 3 3 6 2" xfId="11636"/>
    <cellStyle name="Comma 3 3 7" xfId="11456"/>
    <cellStyle name="Comma 3 4" xfId="2616"/>
    <cellStyle name="Comma 3 4 2" xfId="2957"/>
    <cellStyle name="Comma 3 4 2 2" xfId="11546"/>
    <cellStyle name="Comma 3 4 3" xfId="3017"/>
    <cellStyle name="Comma 3 4 3 2" xfId="11606"/>
    <cellStyle name="Comma 3 4 4" xfId="3077"/>
    <cellStyle name="Comma 3 4 4 2" xfId="11666"/>
    <cellStyle name="Comma 3 4 5" xfId="11486"/>
    <cellStyle name="Comma 3 5" xfId="2762"/>
    <cellStyle name="Comma 3 5 2" xfId="2937"/>
    <cellStyle name="Comma 3 5 2 2" xfId="11526"/>
    <cellStyle name="Comma 3 5 3" xfId="2997"/>
    <cellStyle name="Comma 3 5 3 2" xfId="11586"/>
    <cellStyle name="Comma 3 5 4" xfId="3057"/>
    <cellStyle name="Comma 3 5 4 2" xfId="11646"/>
    <cellStyle name="Comma 3 5 4 3" xfId="12270"/>
    <cellStyle name="Comma 3 5 5" xfId="11466"/>
    <cellStyle name="Comma 3 5 6" xfId="2880"/>
    <cellStyle name="Comma 3 6" xfId="2917"/>
    <cellStyle name="Comma 3 6 2" xfId="11506"/>
    <cellStyle name="Comma 3 7" xfId="2977"/>
    <cellStyle name="Comma 3 7 2" xfId="11566"/>
    <cellStyle name="Comma 3 8" xfId="3037"/>
    <cellStyle name="Comma 3 8 2" xfId="11626"/>
    <cellStyle name="Comma 3 8 3" xfId="12268"/>
    <cellStyle name="Comma 3 9" xfId="11446"/>
    <cellStyle name="Comma 4" xfId="55"/>
    <cellStyle name="Comma 4 2" xfId="1779"/>
    <cellStyle name="Comma 4 2 10" xfId="2866"/>
    <cellStyle name="Comma 4 2 2" xfId="1780"/>
    <cellStyle name="Comma 4 2 2 2" xfId="2617"/>
    <cellStyle name="Comma 4 2 2 2 2" xfId="2911"/>
    <cellStyle name="Comma 4 2 2 2 2 2" xfId="2971"/>
    <cellStyle name="Comma 4 2 2 2 2 2 2" xfId="11560"/>
    <cellStyle name="Comma 4 2 2 2 2 3" xfId="3031"/>
    <cellStyle name="Comma 4 2 2 2 2 3 2" xfId="11620"/>
    <cellStyle name="Comma 4 2 2 2 2 4" xfId="3091"/>
    <cellStyle name="Comma 4 2 2 2 2 4 2" xfId="11680"/>
    <cellStyle name="Comma 4 2 2 2 2 5" xfId="11500"/>
    <cellStyle name="Comma 4 2 2 2 3" xfId="2893"/>
    <cellStyle name="Comma 4 2 2 2 3 2" xfId="2951"/>
    <cellStyle name="Comma 4 2 2 2 3 2 2" xfId="11540"/>
    <cellStyle name="Comma 4 2 2 2 3 3" xfId="3011"/>
    <cellStyle name="Comma 4 2 2 2 3 3 2" xfId="11600"/>
    <cellStyle name="Comma 4 2 2 2 3 4" xfId="3071"/>
    <cellStyle name="Comma 4 2 2 2 3 4 2" xfId="11660"/>
    <cellStyle name="Comma 4 2 2 2 3 5" xfId="11480"/>
    <cellStyle name="Comma 4 2 2 2 4" xfId="2931"/>
    <cellStyle name="Comma 4 2 2 2 4 2" xfId="11520"/>
    <cellStyle name="Comma 4 2 2 2 5" xfId="2991"/>
    <cellStyle name="Comma 4 2 2 2 5 2" xfId="11580"/>
    <cellStyle name="Comma 4 2 2 2 6" xfId="3051"/>
    <cellStyle name="Comma 4 2 2 2 6 2" xfId="11640"/>
    <cellStyle name="Comma 4 2 2 2 7" xfId="11460"/>
    <cellStyle name="Comma 4 2 2 3" xfId="2901"/>
    <cellStyle name="Comma 4 2 2 3 2" xfId="2961"/>
    <cellStyle name="Comma 4 2 2 3 2 2" xfId="11550"/>
    <cellStyle name="Comma 4 2 2 3 3" xfId="3021"/>
    <cellStyle name="Comma 4 2 2 3 3 2" xfId="11610"/>
    <cellStyle name="Comma 4 2 2 3 4" xfId="3081"/>
    <cellStyle name="Comma 4 2 2 3 4 2" xfId="11670"/>
    <cellStyle name="Comma 4 2 2 3 5" xfId="11490"/>
    <cellStyle name="Comma 4 2 2 4" xfId="2883"/>
    <cellStyle name="Comma 4 2 2 4 2" xfId="2941"/>
    <cellStyle name="Comma 4 2 2 4 2 2" xfId="11530"/>
    <cellStyle name="Comma 4 2 2 4 3" xfId="3001"/>
    <cellStyle name="Comma 4 2 2 4 3 2" xfId="11590"/>
    <cellStyle name="Comma 4 2 2 4 4" xfId="3061"/>
    <cellStyle name="Comma 4 2 2 4 4 2" xfId="11650"/>
    <cellStyle name="Comma 4 2 2 4 5" xfId="11470"/>
    <cellStyle name="Comma 4 2 2 5" xfId="2921"/>
    <cellStyle name="Comma 4 2 2 5 2" xfId="11510"/>
    <cellStyle name="Comma 4 2 2 6" xfId="2981"/>
    <cellStyle name="Comma 4 2 2 6 2" xfId="11570"/>
    <cellStyle name="Comma 4 2 2 7" xfId="3041"/>
    <cellStyle name="Comma 4 2 2 7 2" xfId="11630"/>
    <cellStyle name="Comma 4 2 2 8" xfId="11450"/>
    <cellStyle name="Comma 4 2 3" xfId="2618"/>
    <cellStyle name="Comma 4 2 3 2" xfId="2910"/>
    <cellStyle name="Comma 4 2 3 2 2" xfId="2970"/>
    <cellStyle name="Comma 4 2 3 2 2 2" xfId="11559"/>
    <cellStyle name="Comma 4 2 3 2 3" xfId="3030"/>
    <cellStyle name="Comma 4 2 3 2 3 2" xfId="11619"/>
    <cellStyle name="Comma 4 2 3 2 4" xfId="3090"/>
    <cellStyle name="Comma 4 2 3 2 4 2" xfId="11679"/>
    <cellStyle name="Comma 4 2 3 2 5" xfId="11499"/>
    <cellStyle name="Comma 4 2 3 3" xfId="2892"/>
    <cellStyle name="Comma 4 2 3 3 2" xfId="2950"/>
    <cellStyle name="Comma 4 2 3 3 2 2" xfId="11539"/>
    <cellStyle name="Comma 4 2 3 3 3" xfId="3010"/>
    <cellStyle name="Comma 4 2 3 3 3 2" xfId="11599"/>
    <cellStyle name="Comma 4 2 3 3 4" xfId="3070"/>
    <cellStyle name="Comma 4 2 3 3 4 2" xfId="11659"/>
    <cellStyle name="Comma 4 2 3 3 5" xfId="11479"/>
    <cellStyle name="Comma 4 2 3 4" xfId="2930"/>
    <cellStyle name="Comma 4 2 3 4 2" xfId="11519"/>
    <cellStyle name="Comma 4 2 3 5" xfId="2990"/>
    <cellStyle name="Comma 4 2 3 5 2" xfId="11579"/>
    <cellStyle name="Comma 4 2 3 6" xfId="3050"/>
    <cellStyle name="Comma 4 2 3 6 2" xfId="11639"/>
    <cellStyle name="Comma 4 2 3 7" xfId="11459"/>
    <cellStyle name="Comma 4 2 3 8" xfId="2874"/>
    <cellStyle name="Comma 4 2 4" xfId="2619"/>
    <cellStyle name="Comma 4 2 4 2" xfId="2960"/>
    <cellStyle name="Comma 4 2 4 2 2" xfId="11549"/>
    <cellStyle name="Comma 4 2 4 2 3" xfId="12261"/>
    <cellStyle name="Comma 4 2 4 2 4" xfId="12047"/>
    <cellStyle name="Comma 4 2 4 3" xfId="3020"/>
    <cellStyle name="Comma 4 2 4 3 2" xfId="11609"/>
    <cellStyle name="Comma 4 2 4 4" xfId="3080"/>
    <cellStyle name="Comma 4 2 4 4 2" xfId="11669"/>
    <cellStyle name="Comma 4 2 4 5" xfId="11489"/>
    <cellStyle name="Comma 4 2 4 6" xfId="2900"/>
    <cellStyle name="Comma 4 2 5" xfId="2882"/>
    <cellStyle name="Comma 4 2 5 2" xfId="2940"/>
    <cellStyle name="Comma 4 2 5 2 2" xfId="11529"/>
    <cellStyle name="Comma 4 2 5 3" xfId="3000"/>
    <cellStyle name="Comma 4 2 5 3 2" xfId="11589"/>
    <cellStyle name="Comma 4 2 5 4" xfId="3060"/>
    <cellStyle name="Comma 4 2 5 4 2" xfId="11649"/>
    <cellStyle name="Comma 4 2 5 5" xfId="11469"/>
    <cellStyle name="Comma 4 2 5 6" xfId="12250"/>
    <cellStyle name="Comma 4 2 5 7" xfId="12048"/>
    <cellStyle name="Comma 4 2 6" xfId="2920"/>
    <cellStyle name="Comma 4 2 6 2" xfId="11509"/>
    <cellStyle name="Comma 4 2 7" xfId="2980"/>
    <cellStyle name="Comma 4 2 7 2" xfId="11569"/>
    <cellStyle name="Comma 4 2 8" xfId="3040"/>
    <cellStyle name="Comma 4 2 8 2" xfId="11629"/>
    <cellStyle name="Comma 4 2 9" xfId="11449"/>
    <cellStyle name="Comma 4 3" xfId="1781"/>
    <cellStyle name="Comma 4 3 10" xfId="12049"/>
    <cellStyle name="Comma 4 3 2" xfId="2621"/>
    <cellStyle name="Comma 4 3 2 2" xfId="2969"/>
    <cellStyle name="Comma 4 3 2 2 2" xfId="11558"/>
    <cellStyle name="Comma 4 3 2 3" xfId="3029"/>
    <cellStyle name="Comma 4 3 2 3 2" xfId="11618"/>
    <cellStyle name="Comma 4 3 2 4" xfId="3089"/>
    <cellStyle name="Comma 4 3 2 4 2" xfId="11678"/>
    <cellStyle name="Comma 4 3 2 5" xfId="11498"/>
    <cellStyle name="Comma 4 3 2 6" xfId="2909"/>
    <cellStyle name="Comma 4 3 3" xfId="2622"/>
    <cellStyle name="Comma 4 3 3 2" xfId="2949"/>
    <cellStyle name="Comma 4 3 3 2 2" xfId="11538"/>
    <cellStyle name="Comma 4 3 3 2 3" xfId="12258"/>
    <cellStyle name="Comma 4 3 3 2 4" xfId="12051"/>
    <cellStyle name="Comma 4 3 3 3" xfId="3009"/>
    <cellStyle name="Comma 4 3 3 3 2" xfId="11598"/>
    <cellStyle name="Comma 4 3 3 4" xfId="3069"/>
    <cellStyle name="Comma 4 3 3 4 2" xfId="11658"/>
    <cellStyle name="Comma 4 3 3 5" xfId="11478"/>
    <cellStyle name="Comma 4 3 3 6" xfId="2891"/>
    <cellStyle name="Comma 4 3 3 7" xfId="12050"/>
    <cellStyle name="Comma 4 3 4" xfId="2620"/>
    <cellStyle name="Comma 4 3 4 2" xfId="11518"/>
    <cellStyle name="Comma 4 3 4 2 2" xfId="12284"/>
    <cellStyle name="Comma 4 3 4 2 3" xfId="12053"/>
    <cellStyle name="Comma 4 3 4 3" xfId="2929"/>
    <cellStyle name="Comma 4 3 4 4" xfId="12052"/>
    <cellStyle name="Comma 4 3 5" xfId="2795"/>
    <cellStyle name="Comma 4 3 5 2" xfId="11578"/>
    <cellStyle name="Comma 4 3 5 2 2" xfId="12056"/>
    <cellStyle name="Comma 4 3 5 2 3" xfId="12286"/>
    <cellStyle name="Comma 4 3 5 2 4" xfId="12055"/>
    <cellStyle name="Comma 4 3 5 3" xfId="2989"/>
    <cellStyle name="Comma 4 3 5 3 2" xfId="12057"/>
    <cellStyle name="Comma 4 3 5 4" xfId="12058"/>
    <cellStyle name="Comma 4 3 5 5" xfId="12265"/>
    <cellStyle name="Comma 4 3 5 6" xfId="12054"/>
    <cellStyle name="Comma 4 3 6" xfId="3049"/>
    <cellStyle name="Comma 4 3 6 2" xfId="11638"/>
    <cellStyle name="Comma 4 3 6 2 2" xfId="12288"/>
    <cellStyle name="Comma 4 3 6 2 3" xfId="12060"/>
    <cellStyle name="Comma 4 3 6 3" xfId="12269"/>
    <cellStyle name="Comma 4 3 6 4" xfId="12059"/>
    <cellStyle name="Comma 4 3 7" xfId="11458"/>
    <cellStyle name="Comma 4 3 7 2" xfId="12062"/>
    <cellStyle name="Comma 4 3 7 3" xfId="12282"/>
    <cellStyle name="Comma 4 3 7 4" xfId="12061"/>
    <cellStyle name="Comma 4 3 8" xfId="2873"/>
    <cellStyle name="Comma 4 3 8 2" xfId="12063"/>
    <cellStyle name="Comma 4 3 9" xfId="12246"/>
    <cellStyle name="Comma 4 4" xfId="1778"/>
    <cellStyle name="Comma 4 4 2" xfId="2959"/>
    <cellStyle name="Comma 4 4 2 2" xfId="11548"/>
    <cellStyle name="Comma 4 4 3" xfId="3019"/>
    <cellStyle name="Comma 4 4 3 2" xfId="11608"/>
    <cellStyle name="Comma 4 4 4" xfId="3079"/>
    <cellStyle name="Comma 4 4 4 2" xfId="11668"/>
    <cellStyle name="Comma 4 4 5" xfId="11488"/>
    <cellStyle name="Comma 4 5" xfId="2623"/>
    <cellStyle name="Comma 4 5 2" xfId="2939"/>
    <cellStyle name="Comma 4 5 2 2" xfId="11528"/>
    <cellStyle name="Comma 4 5 3" xfId="2999"/>
    <cellStyle name="Comma 4 5 3 2" xfId="11588"/>
    <cellStyle name="Comma 4 5 4" xfId="3059"/>
    <cellStyle name="Comma 4 5 4 2" xfId="11648"/>
    <cellStyle name="Comma 4 5 5" xfId="11468"/>
    <cellStyle name="Comma 4 6" xfId="2745"/>
    <cellStyle name="Comma 4 6 2" xfId="11508"/>
    <cellStyle name="Comma 4 6 2 2" xfId="12064"/>
    <cellStyle name="Comma 4 6 3" xfId="2919"/>
    <cellStyle name="Comma 4 6 4" xfId="12065"/>
    <cellStyle name="Comma 4 7" xfId="2979"/>
    <cellStyle name="Comma 4 7 2" xfId="11568"/>
    <cellStyle name="Comma 4 8" xfId="3039"/>
    <cellStyle name="Comma 4 8 2" xfId="11628"/>
    <cellStyle name="Comma 4 9" xfId="11448"/>
    <cellStyle name="Comma 4 9 2" xfId="12281"/>
    <cellStyle name="Comma 5" xfId="1782"/>
    <cellStyle name="Comma 5 2" xfId="2624"/>
    <cellStyle name="Comma 5 2 2" xfId="2912"/>
    <cellStyle name="Comma 5 2 2 2" xfId="2972"/>
    <cellStyle name="Comma 5 2 2 2 2" xfId="11561"/>
    <cellStyle name="Comma 5 2 2 3" xfId="3032"/>
    <cellStyle name="Comma 5 2 2 3 2" xfId="11621"/>
    <cellStyle name="Comma 5 2 2 4" xfId="3092"/>
    <cellStyle name="Comma 5 2 2 4 2" xfId="11681"/>
    <cellStyle name="Comma 5 2 2 5" xfId="11501"/>
    <cellStyle name="Comma 5 2 3" xfId="2894"/>
    <cellStyle name="Comma 5 2 3 2" xfId="2952"/>
    <cellStyle name="Comma 5 2 3 2 2" xfId="11541"/>
    <cellStyle name="Comma 5 2 3 3" xfId="3012"/>
    <cellStyle name="Comma 5 2 3 3 2" xfId="11601"/>
    <cellStyle name="Comma 5 2 3 4" xfId="3072"/>
    <cellStyle name="Comma 5 2 3 4 2" xfId="11661"/>
    <cellStyle name="Comma 5 2 3 5" xfId="11481"/>
    <cellStyle name="Comma 5 2 4" xfId="2932"/>
    <cellStyle name="Comma 5 2 4 2" xfId="11521"/>
    <cellStyle name="Comma 5 2 5" xfId="2992"/>
    <cellStyle name="Comma 5 2 5 2" xfId="11581"/>
    <cellStyle name="Comma 5 2 6" xfId="3052"/>
    <cellStyle name="Comma 5 2 6 2" xfId="11641"/>
    <cellStyle name="Comma 5 2 7" xfId="11461"/>
    <cellStyle name="Comma 5 2 8" xfId="2875"/>
    <cellStyle name="Comma 5 3" xfId="2625"/>
    <cellStyle name="Comma 5 3 2" xfId="2962"/>
    <cellStyle name="Comma 5 3 2 2" xfId="11551"/>
    <cellStyle name="Comma 5 3 2 3" xfId="12262"/>
    <cellStyle name="Comma 5 3 2 4" xfId="12066"/>
    <cellStyle name="Comma 5 3 3" xfId="3022"/>
    <cellStyle name="Comma 5 3 3 2" xfId="11611"/>
    <cellStyle name="Comma 5 3 4" xfId="3082"/>
    <cellStyle name="Comma 5 3 4 2" xfId="11671"/>
    <cellStyle name="Comma 5 3 5" xfId="11491"/>
    <cellStyle name="Comma 5 3 6" xfId="2902"/>
    <cellStyle name="Comma 5 4" xfId="2884"/>
    <cellStyle name="Comma 5 4 2" xfId="2942"/>
    <cellStyle name="Comma 5 4 2 2" xfId="11531"/>
    <cellStyle name="Comma 5 4 3" xfId="3002"/>
    <cellStyle name="Comma 5 4 3 2" xfId="11591"/>
    <cellStyle name="Comma 5 4 4" xfId="3062"/>
    <cellStyle name="Comma 5 4 4 2" xfId="11651"/>
    <cellStyle name="Comma 5 4 5" xfId="11471"/>
    <cellStyle name="Comma 5 4 6" xfId="12251"/>
    <cellStyle name="Comma 5 4 7" xfId="12067"/>
    <cellStyle name="Comma 5 5" xfId="2922"/>
    <cellStyle name="Comma 5 5 2" xfId="11511"/>
    <cellStyle name="Comma 5 6" xfId="2982"/>
    <cellStyle name="Comma 5 6 2" xfId="11571"/>
    <cellStyle name="Comma 5 7" xfId="3042"/>
    <cellStyle name="Comma 5 7 2" xfId="11631"/>
    <cellStyle name="Comma 5 8" xfId="11451"/>
    <cellStyle name="Comma 5 9" xfId="2867"/>
    <cellStyle name="Comma 6" xfId="2626"/>
    <cellStyle name="Comma 7" xfId="12068"/>
    <cellStyle name="Comma 7 2" xfId="12069"/>
    <cellStyle name="Explanatory Text 2" xfId="269"/>
    <cellStyle name="Explanatory Text 2 10" xfId="1783"/>
    <cellStyle name="Explanatory Text 2 11" xfId="1784"/>
    <cellStyle name="Explanatory Text 2 12" xfId="1785"/>
    <cellStyle name="Explanatory Text 2 13" xfId="1786"/>
    <cellStyle name="Explanatory Text 2 14" xfId="1787"/>
    <cellStyle name="Explanatory Text 2 15" xfId="1788"/>
    <cellStyle name="Explanatory Text 2 16" xfId="1789"/>
    <cellStyle name="Explanatory Text 2 17" xfId="1790"/>
    <cellStyle name="Explanatory Text 2 2" xfId="1791"/>
    <cellStyle name="Explanatory Text 2 3" xfId="1792"/>
    <cellStyle name="Explanatory Text 2 4" xfId="1793"/>
    <cellStyle name="Explanatory Text 2 5" xfId="1794"/>
    <cellStyle name="Explanatory Text 2 6" xfId="1795"/>
    <cellStyle name="Explanatory Text 2 7" xfId="1796"/>
    <cellStyle name="Explanatory Text 2 8" xfId="1797"/>
    <cellStyle name="Explanatory Text 2 9" xfId="1798"/>
    <cellStyle name="Explanatory Text 3 10" xfId="1799"/>
    <cellStyle name="Explanatory Text 3 11" xfId="1800"/>
    <cellStyle name="Explanatory Text 3 12" xfId="1801"/>
    <cellStyle name="Explanatory Text 3 13" xfId="1802"/>
    <cellStyle name="Explanatory Text 3 14" xfId="1803"/>
    <cellStyle name="Explanatory Text 3 15" xfId="1804"/>
    <cellStyle name="Explanatory Text 3 16" xfId="1805"/>
    <cellStyle name="Explanatory Text 3 17" xfId="1806"/>
    <cellStyle name="Explanatory Text 3 2" xfId="1807"/>
    <cellStyle name="Explanatory Text 3 3" xfId="1808"/>
    <cellStyle name="Explanatory Text 3 4" xfId="1809"/>
    <cellStyle name="Explanatory Text 3 5" xfId="1810"/>
    <cellStyle name="Explanatory Text 3 6" xfId="1811"/>
    <cellStyle name="Explanatory Text 3 7" xfId="1812"/>
    <cellStyle name="Explanatory Text 3 8" xfId="1813"/>
    <cellStyle name="Explanatory Text 3 9" xfId="1814"/>
    <cellStyle name="Good 2" xfId="250"/>
    <cellStyle name="Good 2 10" xfId="1815"/>
    <cellStyle name="Good 2 11" xfId="1816"/>
    <cellStyle name="Good 2 12" xfId="1817"/>
    <cellStyle name="Good 2 13" xfId="1818"/>
    <cellStyle name="Good 2 14" xfId="1819"/>
    <cellStyle name="Good 2 15" xfId="1820"/>
    <cellStyle name="Good 2 16" xfId="1821"/>
    <cellStyle name="Good 2 17" xfId="1822"/>
    <cellStyle name="Good 2 2" xfId="1823"/>
    <cellStyle name="Good 2 3" xfId="1824"/>
    <cellStyle name="Good 2 4" xfId="1825"/>
    <cellStyle name="Good 2 5" xfId="1826"/>
    <cellStyle name="Good 2 6" xfId="1827"/>
    <cellStyle name="Good 2 7" xfId="1828"/>
    <cellStyle name="Good 2 8" xfId="1829"/>
    <cellStyle name="Good 2 9" xfId="1830"/>
    <cellStyle name="Good 3 10" xfId="1831"/>
    <cellStyle name="Good 3 11" xfId="1832"/>
    <cellStyle name="Good 3 12" xfId="1833"/>
    <cellStyle name="Good 3 13" xfId="1834"/>
    <cellStyle name="Good 3 14" xfId="1835"/>
    <cellStyle name="Good 3 15" xfId="1836"/>
    <cellStyle name="Good 3 16" xfId="1837"/>
    <cellStyle name="Good 3 17" xfId="1838"/>
    <cellStyle name="Good 3 2" xfId="1839"/>
    <cellStyle name="Good 3 3" xfId="1840"/>
    <cellStyle name="Good 3 4" xfId="1841"/>
    <cellStyle name="Good 3 5" xfId="1842"/>
    <cellStyle name="Good 3 6" xfId="1843"/>
    <cellStyle name="Good 3 7" xfId="1844"/>
    <cellStyle name="Good 3 8" xfId="1845"/>
    <cellStyle name="Good 3 9" xfId="1846"/>
    <cellStyle name="Heading 1 2" xfId="261"/>
    <cellStyle name="Heading 1 2 10" xfId="1847"/>
    <cellStyle name="Heading 1 2 11" xfId="1848"/>
    <cellStyle name="Heading 1 2 12" xfId="1849"/>
    <cellStyle name="Heading 1 2 13" xfId="1850"/>
    <cellStyle name="Heading 1 2 14" xfId="1851"/>
    <cellStyle name="Heading 1 2 15" xfId="1852"/>
    <cellStyle name="Heading 1 2 16" xfId="1853"/>
    <cellStyle name="Heading 1 2 17" xfId="1854"/>
    <cellStyle name="Heading 1 2 18" xfId="1855"/>
    <cellStyle name="Heading 1 2 2" xfId="1856"/>
    <cellStyle name="Heading 1 2 2 2" xfId="1857"/>
    <cellStyle name="Heading 1 2 3" xfId="1858"/>
    <cellStyle name="Heading 1 2 4" xfId="1859"/>
    <cellStyle name="Heading 1 2 5" xfId="1860"/>
    <cellStyle name="Heading 1 2 6" xfId="1861"/>
    <cellStyle name="Heading 1 2 7" xfId="1862"/>
    <cellStyle name="Heading 1 2 8" xfId="1863"/>
    <cellStyle name="Heading 1 2 9" xfId="1864"/>
    <cellStyle name="Heading 1 3" xfId="1865"/>
    <cellStyle name="Heading 1 3 10" xfId="1866"/>
    <cellStyle name="Heading 1 3 11" xfId="1867"/>
    <cellStyle name="Heading 1 3 12" xfId="1868"/>
    <cellStyle name="Heading 1 3 13" xfId="1869"/>
    <cellStyle name="Heading 1 3 14" xfId="1870"/>
    <cellStyle name="Heading 1 3 15" xfId="1871"/>
    <cellStyle name="Heading 1 3 16" xfId="1872"/>
    <cellStyle name="Heading 1 3 17" xfId="1873"/>
    <cellStyle name="Heading 1 3 2" xfId="1874"/>
    <cellStyle name="Heading 1 3 3" xfId="1875"/>
    <cellStyle name="Heading 1 3 4" xfId="1876"/>
    <cellStyle name="Heading 1 3 5" xfId="1877"/>
    <cellStyle name="Heading 1 3 6" xfId="1878"/>
    <cellStyle name="Heading 1 3 7" xfId="1879"/>
    <cellStyle name="Heading 1 3 8" xfId="1880"/>
    <cellStyle name="Heading 1 3 9" xfId="1881"/>
    <cellStyle name="Heading 2 2" xfId="262"/>
    <cellStyle name="Heading 2 2 10" xfId="1882"/>
    <cellStyle name="Heading 2 2 11" xfId="1883"/>
    <cellStyle name="Heading 2 2 12" xfId="1884"/>
    <cellStyle name="Heading 2 2 13" xfId="1885"/>
    <cellStyle name="Heading 2 2 14" xfId="1886"/>
    <cellStyle name="Heading 2 2 15" xfId="1887"/>
    <cellStyle name="Heading 2 2 16" xfId="1888"/>
    <cellStyle name="Heading 2 2 17" xfId="1889"/>
    <cellStyle name="Heading 2 2 2" xfId="1890"/>
    <cellStyle name="Heading 2 2 3" xfId="1891"/>
    <cellStyle name="Heading 2 2 4" xfId="1892"/>
    <cellStyle name="Heading 2 2 5" xfId="1893"/>
    <cellStyle name="Heading 2 2 6" xfId="1894"/>
    <cellStyle name="Heading 2 2 7" xfId="1895"/>
    <cellStyle name="Heading 2 2 8" xfId="1896"/>
    <cellStyle name="Heading 2 2 9" xfId="1897"/>
    <cellStyle name="Heading 2 3 10" xfId="1898"/>
    <cellStyle name="Heading 2 3 11" xfId="1899"/>
    <cellStyle name="Heading 2 3 12" xfId="1900"/>
    <cellStyle name="Heading 2 3 13" xfId="1901"/>
    <cellStyle name="Heading 2 3 14" xfId="1902"/>
    <cellStyle name="Heading 2 3 15" xfId="1903"/>
    <cellStyle name="Heading 2 3 16" xfId="1904"/>
    <cellStyle name="Heading 2 3 17" xfId="1905"/>
    <cellStyle name="Heading 2 3 2" xfId="1906"/>
    <cellStyle name="Heading 2 3 3" xfId="1907"/>
    <cellStyle name="Heading 2 3 4" xfId="1908"/>
    <cellStyle name="Heading 2 3 5" xfId="1909"/>
    <cellStyle name="Heading 2 3 6" xfId="1910"/>
    <cellStyle name="Heading 2 3 7" xfId="1911"/>
    <cellStyle name="Heading 2 3 8" xfId="1912"/>
    <cellStyle name="Heading 2 3 9" xfId="1913"/>
    <cellStyle name="Heading 3 2" xfId="263"/>
    <cellStyle name="Heading 3 2 10" xfId="1914"/>
    <cellStyle name="Heading 3 2 11" xfId="1915"/>
    <cellStyle name="Heading 3 2 12" xfId="1916"/>
    <cellStyle name="Heading 3 2 13" xfId="1917"/>
    <cellStyle name="Heading 3 2 14" xfId="1918"/>
    <cellStyle name="Heading 3 2 15" xfId="1919"/>
    <cellStyle name="Heading 3 2 16" xfId="1920"/>
    <cellStyle name="Heading 3 2 17" xfId="1921"/>
    <cellStyle name="Heading 3 2 2" xfId="1922"/>
    <cellStyle name="Heading 3 2 3" xfId="1923"/>
    <cellStyle name="Heading 3 2 4" xfId="1924"/>
    <cellStyle name="Heading 3 2 5" xfId="1925"/>
    <cellStyle name="Heading 3 2 6" xfId="1926"/>
    <cellStyle name="Heading 3 2 7" xfId="1927"/>
    <cellStyle name="Heading 3 2 8" xfId="1928"/>
    <cellStyle name="Heading 3 2 9" xfId="1929"/>
    <cellStyle name="Heading 3 3 10" xfId="1930"/>
    <cellStyle name="Heading 3 3 11" xfId="1931"/>
    <cellStyle name="Heading 3 3 12" xfId="1932"/>
    <cellStyle name="Heading 3 3 13" xfId="1933"/>
    <cellStyle name="Heading 3 3 14" xfId="1934"/>
    <cellStyle name="Heading 3 3 15" xfId="1935"/>
    <cellStyle name="Heading 3 3 16" xfId="1936"/>
    <cellStyle name="Heading 3 3 17" xfId="1937"/>
    <cellStyle name="Heading 3 3 2" xfId="1938"/>
    <cellStyle name="Heading 3 3 3" xfId="1939"/>
    <cellStyle name="Heading 3 3 4" xfId="1940"/>
    <cellStyle name="Heading 3 3 5" xfId="1941"/>
    <cellStyle name="Heading 3 3 6" xfId="1942"/>
    <cellStyle name="Heading 3 3 7" xfId="1943"/>
    <cellStyle name="Heading 3 3 8" xfId="1944"/>
    <cellStyle name="Heading 3 3 9" xfId="1945"/>
    <cellStyle name="Heading 4 2" xfId="264"/>
    <cellStyle name="Heading 4 2 10" xfId="1946"/>
    <cellStyle name="Heading 4 2 11" xfId="1947"/>
    <cellStyle name="Heading 4 2 12" xfId="1948"/>
    <cellStyle name="Heading 4 2 13" xfId="1949"/>
    <cellStyle name="Heading 4 2 14" xfId="1950"/>
    <cellStyle name="Heading 4 2 15" xfId="1951"/>
    <cellStyle name="Heading 4 2 16" xfId="1952"/>
    <cellStyle name="Heading 4 2 17" xfId="1953"/>
    <cellStyle name="Heading 4 2 2" xfId="1954"/>
    <cellStyle name="Heading 4 2 3" xfId="1955"/>
    <cellStyle name="Heading 4 2 4" xfId="1956"/>
    <cellStyle name="Heading 4 2 5" xfId="1957"/>
    <cellStyle name="Heading 4 2 6" xfId="1958"/>
    <cellStyle name="Heading 4 2 7" xfId="1959"/>
    <cellStyle name="Heading 4 2 8" xfId="1960"/>
    <cellStyle name="Heading 4 2 9" xfId="1961"/>
    <cellStyle name="Heading 4 3 10" xfId="1962"/>
    <cellStyle name="Heading 4 3 11" xfId="1963"/>
    <cellStyle name="Heading 4 3 12" xfId="1964"/>
    <cellStyle name="Heading 4 3 13" xfId="1965"/>
    <cellStyle name="Heading 4 3 14" xfId="1966"/>
    <cellStyle name="Heading 4 3 15" xfId="1967"/>
    <cellStyle name="Heading 4 3 16" xfId="1968"/>
    <cellStyle name="Heading 4 3 17" xfId="1969"/>
    <cellStyle name="Heading 4 3 2" xfId="1970"/>
    <cellStyle name="Heading 4 3 3" xfId="1971"/>
    <cellStyle name="Heading 4 3 4" xfId="1972"/>
    <cellStyle name="Heading 4 3 5" xfId="1973"/>
    <cellStyle name="Heading 4 3 6" xfId="1974"/>
    <cellStyle name="Heading 4 3 7" xfId="1975"/>
    <cellStyle name="Heading 4 3 8" xfId="1976"/>
    <cellStyle name="Heading 4 3 9" xfId="1977"/>
    <cellStyle name="Hyperlink 2" xfId="16"/>
    <cellStyle name="Hyperlink 2 2" xfId="2414"/>
    <cellStyle name="Hyperlink 3" xfId="276"/>
    <cellStyle name="Hyperlink 4" xfId="12070"/>
    <cellStyle name="Input 2" xfId="59"/>
    <cellStyle name="Input 2 10" xfId="1978"/>
    <cellStyle name="Input 2 11" xfId="1979"/>
    <cellStyle name="Input 2 12" xfId="1980"/>
    <cellStyle name="Input 2 13" xfId="1981"/>
    <cellStyle name="Input 2 14" xfId="1982"/>
    <cellStyle name="Input 2 15" xfId="1983"/>
    <cellStyle name="Input 2 16" xfId="1984"/>
    <cellStyle name="Input 2 17" xfId="1985"/>
    <cellStyle name="Input 2 18" xfId="1986"/>
    <cellStyle name="Input 2 19" xfId="1987"/>
    <cellStyle name="Input 2 2" xfId="1988"/>
    <cellStyle name="Input 2 20" xfId="2627"/>
    <cellStyle name="Input 2 3" xfId="1989"/>
    <cellStyle name="Input 2 4" xfId="1990"/>
    <cellStyle name="Input 2 5" xfId="1991"/>
    <cellStyle name="Input 2 6" xfId="1992"/>
    <cellStyle name="Input 2 7" xfId="1993"/>
    <cellStyle name="Input 2 8" xfId="1994"/>
    <cellStyle name="Input 2 9" xfId="1995"/>
    <cellStyle name="Input 3" xfId="272"/>
    <cellStyle name="Input 3 10" xfId="1996"/>
    <cellStyle name="Input 3 11" xfId="1997"/>
    <cellStyle name="Input 3 12" xfId="1998"/>
    <cellStyle name="Input 3 13" xfId="1999"/>
    <cellStyle name="Input 3 14" xfId="2000"/>
    <cellStyle name="Input 3 15" xfId="2001"/>
    <cellStyle name="Input 3 16" xfId="2002"/>
    <cellStyle name="Input 3 17" xfId="2003"/>
    <cellStyle name="Input 3 2" xfId="2004"/>
    <cellStyle name="Input 3 3" xfId="2005"/>
    <cellStyle name="Input 3 4" xfId="2006"/>
    <cellStyle name="Input 3 5" xfId="2007"/>
    <cellStyle name="Input 3 6" xfId="2008"/>
    <cellStyle name="Input 3 7" xfId="2009"/>
    <cellStyle name="Input 3 8" xfId="2010"/>
    <cellStyle name="Input 3 9" xfId="2011"/>
    <cellStyle name="Input 4" xfId="298"/>
    <cellStyle name="Linked Cell 2" xfId="267"/>
    <cellStyle name="Linked Cell 2 10" xfId="2012"/>
    <cellStyle name="Linked Cell 2 11" xfId="2013"/>
    <cellStyle name="Linked Cell 2 12" xfId="2014"/>
    <cellStyle name="Linked Cell 2 13" xfId="2015"/>
    <cellStyle name="Linked Cell 2 14" xfId="2016"/>
    <cellStyle name="Linked Cell 2 15" xfId="2017"/>
    <cellStyle name="Linked Cell 2 16" xfId="2018"/>
    <cellStyle name="Linked Cell 2 17" xfId="2019"/>
    <cellStyle name="Linked Cell 2 2" xfId="2020"/>
    <cellStyle name="Linked Cell 2 3" xfId="2021"/>
    <cellStyle name="Linked Cell 2 4" xfId="2022"/>
    <cellStyle name="Linked Cell 2 5" xfId="2023"/>
    <cellStyle name="Linked Cell 2 6" xfId="2024"/>
    <cellStyle name="Linked Cell 2 7" xfId="2025"/>
    <cellStyle name="Linked Cell 2 8" xfId="2026"/>
    <cellStyle name="Linked Cell 2 9" xfId="2027"/>
    <cellStyle name="Linked Cell 3 10" xfId="2028"/>
    <cellStyle name="Linked Cell 3 11" xfId="2029"/>
    <cellStyle name="Linked Cell 3 12" xfId="2030"/>
    <cellStyle name="Linked Cell 3 13" xfId="2031"/>
    <cellStyle name="Linked Cell 3 14" xfId="2032"/>
    <cellStyle name="Linked Cell 3 15" xfId="2033"/>
    <cellStyle name="Linked Cell 3 16" xfId="2034"/>
    <cellStyle name="Linked Cell 3 17" xfId="2035"/>
    <cellStyle name="Linked Cell 3 2" xfId="2036"/>
    <cellStyle name="Linked Cell 3 3" xfId="2037"/>
    <cellStyle name="Linked Cell 3 4" xfId="2038"/>
    <cellStyle name="Linked Cell 3 5" xfId="2039"/>
    <cellStyle name="Linked Cell 3 6" xfId="2040"/>
    <cellStyle name="Linked Cell 3 7" xfId="2041"/>
    <cellStyle name="Linked Cell 3 8" xfId="2042"/>
    <cellStyle name="Linked Cell 3 9" xfId="2043"/>
    <cellStyle name="Migliaia 2" xfId="196"/>
    <cellStyle name="Migliaia 2 2" xfId="2044"/>
    <cellStyle name="Migliaia 2 3" xfId="2628"/>
    <cellStyle name="Migliaia 2 4" xfId="12071"/>
    <cellStyle name="Migliaia 2 4 2" xfId="12072"/>
    <cellStyle name="Migliaia 2 5" xfId="12073"/>
    <cellStyle name="Migliaia 3" xfId="197"/>
    <cellStyle name="Migliaia 3 2" xfId="2045"/>
    <cellStyle name="Migliaia 3 3" xfId="2629"/>
    <cellStyle name="Migliaia 3 4" xfId="12074"/>
    <cellStyle name="Migliaia 3 4 2" xfId="12075"/>
    <cellStyle name="Migliaia 3 5" xfId="12076"/>
    <cellStyle name="Neutral 2" xfId="265"/>
    <cellStyle name="Neutral 2 10" xfId="2046"/>
    <cellStyle name="Neutral 2 11" xfId="2047"/>
    <cellStyle name="Neutral 2 12" xfId="2048"/>
    <cellStyle name="Neutral 2 13" xfId="2049"/>
    <cellStyle name="Neutral 2 14" xfId="2050"/>
    <cellStyle name="Neutral 2 15" xfId="2051"/>
    <cellStyle name="Neutral 2 16" xfId="2052"/>
    <cellStyle name="Neutral 2 17" xfId="2053"/>
    <cellStyle name="Neutral 2 2" xfId="2054"/>
    <cellStyle name="Neutral 2 3" xfId="2055"/>
    <cellStyle name="Neutral 2 4" xfId="2056"/>
    <cellStyle name="Neutral 2 5" xfId="2057"/>
    <cellStyle name="Neutral 2 6" xfId="2058"/>
    <cellStyle name="Neutral 2 7" xfId="2059"/>
    <cellStyle name="Neutral 2 8" xfId="2060"/>
    <cellStyle name="Neutral 2 9" xfId="2061"/>
    <cellStyle name="Neutral 3 10" xfId="2062"/>
    <cellStyle name="Neutral 3 11" xfId="2063"/>
    <cellStyle name="Neutral 3 12" xfId="2064"/>
    <cellStyle name="Neutral 3 13" xfId="2065"/>
    <cellStyle name="Neutral 3 14" xfId="2066"/>
    <cellStyle name="Neutral 3 15" xfId="2067"/>
    <cellStyle name="Neutral 3 16" xfId="2068"/>
    <cellStyle name="Neutral 3 17" xfId="2069"/>
    <cellStyle name="Neutral 3 2" xfId="2070"/>
    <cellStyle name="Neutral 3 3" xfId="2071"/>
    <cellStyle name="Neutral 3 4" xfId="2072"/>
    <cellStyle name="Neutral 3 5" xfId="2073"/>
    <cellStyle name="Neutral 3 6" xfId="2074"/>
    <cellStyle name="Neutral 3 7" xfId="2075"/>
    <cellStyle name="Neutral 3 8" xfId="2076"/>
    <cellStyle name="Neutral 3 9" xfId="2077"/>
    <cellStyle name="Neutrale" xfId="198"/>
    <cellStyle name="Neutrale 2" xfId="327"/>
    <cellStyle name="Neutrale 2 2" xfId="2078"/>
    <cellStyle name="Neutrale 2 2 2" xfId="2630"/>
    <cellStyle name="Neutrale 3" xfId="2079"/>
    <cellStyle name="Neutrale 4" xfId="2631"/>
    <cellStyle name="Normal" xfId="0" builtinId="0"/>
    <cellStyle name="Normal 10" xfId="357"/>
    <cellStyle name="Normal 10 2" xfId="44"/>
    <cellStyle name="Normal 10 3" xfId="35"/>
    <cellStyle name="Normal 10 4" xfId="2080"/>
    <cellStyle name="Normal 11" xfId="29"/>
    <cellStyle name="Normal 11 2" xfId="53"/>
    <cellStyle name="Normal 11 2 2" xfId="2081"/>
    <cellStyle name="Normal 11 3" xfId="23"/>
    <cellStyle name="Normal 12" xfId="49"/>
    <cellStyle name="Normal 13" xfId="21"/>
    <cellStyle name="Normal 13 10" xfId="3779"/>
    <cellStyle name="Normal 13 10 2" xfId="4038"/>
    <cellStyle name="Normal 13 10 2 2" xfId="5713"/>
    <cellStyle name="Normal 13 10 2 2 2" xfId="9063"/>
    <cellStyle name="Normal 13 10 2 3" xfId="10738"/>
    <cellStyle name="Normal 13 10 2 4" xfId="7388"/>
    <cellStyle name="Normal 13 10 3" xfId="5454"/>
    <cellStyle name="Normal 13 10 3 2" xfId="8804"/>
    <cellStyle name="Normal 13 10 4" xfId="10479"/>
    <cellStyle name="Normal 13 10 5" xfId="7129"/>
    <cellStyle name="Normal 13 11" xfId="4015"/>
    <cellStyle name="Normal 13 11 2" xfId="5690"/>
    <cellStyle name="Normal 13 11 2 2" xfId="9040"/>
    <cellStyle name="Normal 13 11 3" xfId="10715"/>
    <cellStyle name="Normal 13 11 4" xfId="7365"/>
    <cellStyle name="Normal 13 12" xfId="4746"/>
    <cellStyle name="Normal 13 12 2" xfId="8096"/>
    <cellStyle name="Normal 13 13" xfId="9771"/>
    <cellStyle name="Normal 13 14" xfId="6421"/>
    <cellStyle name="Normal 13 15" xfId="12228"/>
    <cellStyle name="Normal 13 2" xfId="2082"/>
    <cellStyle name="Normal 13 2 10" xfId="4016"/>
    <cellStyle name="Normal 13 2 10 2" xfId="5691"/>
    <cellStyle name="Normal 13 2 10 2 2" xfId="9041"/>
    <cellStyle name="Normal 13 2 10 3" xfId="10716"/>
    <cellStyle name="Normal 13 2 10 4" xfId="7366"/>
    <cellStyle name="Normal 13 2 11" xfId="4747"/>
    <cellStyle name="Normal 13 2 11 2" xfId="8097"/>
    <cellStyle name="Normal 13 2 12" xfId="9772"/>
    <cellStyle name="Normal 13 2 13" xfId="6422"/>
    <cellStyle name="Normal 13 2 14" xfId="12229"/>
    <cellStyle name="Normal 13 2 2" xfId="3098"/>
    <cellStyle name="Normal 13 2 2 2" xfId="3215"/>
    <cellStyle name="Normal 13 2 2 2 2" xfId="3451"/>
    <cellStyle name="Normal 13 2 2 2 2 2" xfId="4417"/>
    <cellStyle name="Normal 13 2 2 2 2 2 2" xfId="6092"/>
    <cellStyle name="Normal 13 2 2 2 2 2 2 2" xfId="9442"/>
    <cellStyle name="Normal 13 2 2 2 2 2 3" xfId="11117"/>
    <cellStyle name="Normal 13 2 2 2 2 2 4" xfId="7767"/>
    <cellStyle name="Normal 13 2 2 2 2 3" xfId="5125"/>
    <cellStyle name="Normal 13 2 2 2 2 3 2" xfId="8475"/>
    <cellStyle name="Normal 13 2 2 2 2 4" xfId="10150"/>
    <cellStyle name="Normal 13 2 2 2 2 5" xfId="6800"/>
    <cellStyle name="Normal 13 2 2 2 3" xfId="3686"/>
    <cellStyle name="Normal 13 2 2 2 3 2" xfId="4653"/>
    <cellStyle name="Normal 13 2 2 2 3 2 2" xfId="6328"/>
    <cellStyle name="Normal 13 2 2 2 3 2 2 2" xfId="9678"/>
    <cellStyle name="Normal 13 2 2 2 3 2 3" xfId="11353"/>
    <cellStyle name="Normal 13 2 2 2 3 2 4" xfId="8003"/>
    <cellStyle name="Normal 13 2 2 2 3 3" xfId="5361"/>
    <cellStyle name="Normal 13 2 2 2 3 3 2" xfId="8711"/>
    <cellStyle name="Normal 13 2 2 2 3 4" xfId="10386"/>
    <cellStyle name="Normal 13 2 2 2 3 5" xfId="7036"/>
    <cellStyle name="Normal 13 2 2 2 4" xfId="3922"/>
    <cellStyle name="Normal 13 2 2 2 4 2" xfId="5597"/>
    <cellStyle name="Normal 13 2 2 2 4 2 2" xfId="8947"/>
    <cellStyle name="Normal 13 2 2 2 4 3" xfId="10622"/>
    <cellStyle name="Normal 13 2 2 2 4 4" xfId="7272"/>
    <cellStyle name="Normal 13 2 2 2 5" xfId="4181"/>
    <cellStyle name="Normal 13 2 2 2 5 2" xfId="5856"/>
    <cellStyle name="Normal 13 2 2 2 5 2 2" xfId="9206"/>
    <cellStyle name="Normal 13 2 2 2 5 3" xfId="10881"/>
    <cellStyle name="Normal 13 2 2 2 5 4" xfId="7531"/>
    <cellStyle name="Normal 13 2 2 2 6" xfId="4889"/>
    <cellStyle name="Normal 13 2 2 2 6 2" xfId="8239"/>
    <cellStyle name="Normal 13 2 2 2 7" xfId="9914"/>
    <cellStyle name="Normal 13 2 2 2 8" xfId="6564"/>
    <cellStyle name="Normal 13 2 2 3" xfId="3332"/>
    <cellStyle name="Normal 13 2 2 3 2" xfId="4298"/>
    <cellStyle name="Normal 13 2 2 3 2 2" xfId="5973"/>
    <cellStyle name="Normal 13 2 2 3 2 2 2" xfId="9323"/>
    <cellStyle name="Normal 13 2 2 3 2 3" xfId="10998"/>
    <cellStyle name="Normal 13 2 2 3 2 4" xfId="7648"/>
    <cellStyle name="Normal 13 2 2 3 3" xfId="5006"/>
    <cellStyle name="Normal 13 2 2 3 3 2" xfId="8356"/>
    <cellStyle name="Normal 13 2 2 3 4" xfId="10031"/>
    <cellStyle name="Normal 13 2 2 3 5" xfId="6681"/>
    <cellStyle name="Normal 13 2 2 4" xfId="3567"/>
    <cellStyle name="Normal 13 2 2 4 2" xfId="4534"/>
    <cellStyle name="Normal 13 2 2 4 2 2" xfId="6209"/>
    <cellStyle name="Normal 13 2 2 4 2 2 2" xfId="9559"/>
    <cellStyle name="Normal 13 2 2 4 2 3" xfId="11234"/>
    <cellStyle name="Normal 13 2 2 4 2 4" xfId="7884"/>
    <cellStyle name="Normal 13 2 2 4 3" xfId="5242"/>
    <cellStyle name="Normal 13 2 2 4 3 2" xfId="8592"/>
    <cellStyle name="Normal 13 2 2 4 4" xfId="10267"/>
    <cellStyle name="Normal 13 2 2 4 5" xfId="6917"/>
    <cellStyle name="Normal 13 2 2 5" xfId="3803"/>
    <cellStyle name="Normal 13 2 2 5 2" xfId="5478"/>
    <cellStyle name="Normal 13 2 2 5 2 2" xfId="8828"/>
    <cellStyle name="Normal 13 2 2 5 3" xfId="10503"/>
    <cellStyle name="Normal 13 2 2 5 4" xfId="7153"/>
    <cellStyle name="Normal 13 2 2 6" xfId="4062"/>
    <cellStyle name="Normal 13 2 2 6 2" xfId="5737"/>
    <cellStyle name="Normal 13 2 2 6 2 2" xfId="9087"/>
    <cellStyle name="Normal 13 2 2 6 3" xfId="10762"/>
    <cellStyle name="Normal 13 2 2 6 4" xfId="7412"/>
    <cellStyle name="Normal 13 2 2 7" xfId="4770"/>
    <cellStyle name="Normal 13 2 2 7 2" xfId="8120"/>
    <cellStyle name="Normal 13 2 2 8" xfId="9795"/>
    <cellStyle name="Normal 13 2 2 9" xfId="6445"/>
    <cellStyle name="Normal 13 2 3" xfId="3120"/>
    <cellStyle name="Normal 13 2 3 2" xfId="3237"/>
    <cellStyle name="Normal 13 2 3 2 2" xfId="3473"/>
    <cellStyle name="Normal 13 2 3 2 2 2" xfId="4439"/>
    <cellStyle name="Normal 13 2 3 2 2 2 2" xfId="6114"/>
    <cellStyle name="Normal 13 2 3 2 2 2 2 2" xfId="9464"/>
    <cellStyle name="Normal 13 2 3 2 2 2 3" xfId="11139"/>
    <cellStyle name="Normal 13 2 3 2 2 2 4" xfId="7789"/>
    <cellStyle name="Normal 13 2 3 2 2 3" xfId="5147"/>
    <cellStyle name="Normal 13 2 3 2 2 3 2" xfId="8497"/>
    <cellStyle name="Normal 13 2 3 2 2 4" xfId="10172"/>
    <cellStyle name="Normal 13 2 3 2 2 5" xfId="6822"/>
    <cellStyle name="Normal 13 2 3 2 3" xfId="3708"/>
    <cellStyle name="Normal 13 2 3 2 3 2" xfId="4675"/>
    <cellStyle name="Normal 13 2 3 2 3 2 2" xfId="6350"/>
    <cellStyle name="Normal 13 2 3 2 3 2 2 2" xfId="9700"/>
    <cellStyle name="Normal 13 2 3 2 3 2 3" xfId="11375"/>
    <cellStyle name="Normal 13 2 3 2 3 2 4" xfId="8025"/>
    <cellStyle name="Normal 13 2 3 2 3 3" xfId="5383"/>
    <cellStyle name="Normal 13 2 3 2 3 3 2" xfId="8733"/>
    <cellStyle name="Normal 13 2 3 2 3 4" xfId="10408"/>
    <cellStyle name="Normal 13 2 3 2 3 5" xfId="7058"/>
    <cellStyle name="Normal 13 2 3 2 4" xfId="3944"/>
    <cellStyle name="Normal 13 2 3 2 4 2" xfId="5619"/>
    <cellStyle name="Normal 13 2 3 2 4 2 2" xfId="8969"/>
    <cellStyle name="Normal 13 2 3 2 4 3" xfId="10644"/>
    <cellStyle name="Normal 13 2 3 2 4 4" xfId="7294"/>
    <cellStyle name="Normal 13 2 3 2 5" xfId="4203"/>
    <cellStyle name="Normal 13 2 3 2 5 2" xfId="5878"/>
    <cellStyle name="Normal 13 2 3 2 5 2 2" xfId="9228"/>
    <cellStyle name="Normal 13 2 3 2 5 3" xfId="10903"/>
    <cellStyle name="Normal 13 2 3 2 5 4" xfId="7553"/>
    <cellStyle name="Normal 13 2 3 2 6" xfId="4911"/>
    <cellStyle name="Normal 13 2 3 2 6 2" xfId="8261"/>
    <cellStyle name="Normal 13 2 3 2 7" xfId="9936"/>
    <cellStyle name="Normal 13 2 3 2 8" xfId="6586"/>
    <cellStyle name="Normal 13 2 3 3" xfId="3355"/>
    <cellStyle name="Normal 13 2 3 3 2" xfId="4321"/>
    <cellStyle name="Normal 13 2 3 3 2 2" xfId="5996"/>
    <cellStyle name="Normal 13 2 3 3 2 2 2" xfId="9346"/>
    <cellStyle name="Normal 13 2 3 3 2 3" xfId="11021"/>
    <cellStyle name="Normal 13 2 3 3 2 4" xfId="7671"/>
    <cellStyle name="Normal 13 2 3 3 3" xfId="5029"/>
    <cellStyle name="Normal 13 2 3 3 3 2" xfId="8379"/>
    <cellStyle name="Normal 13 2 3 3 4" xfId="10054"/>
    <cellStyle name="Normal 13 2 3 3 5" xfId="6704"/>
    <cellStyle name="Normal 13 2 3 4" xfId="3590"/>
    <cellStyle name="Normal 13 2 3 4 2" xfId="4557"/>
    <cellStyle name="Normal 13 2 3 4 2 2" xfId="6232"/>
    <cellStyle name="Normal 13 2 3 4 2 2 2" xfId="9582"/>
    <cellStyle name="Normal 13 2 3 4 2 3" xfId="11257"/>
    <cellStyle name="Normal 13 2 3 4 2 4" xfId="7907"/>
    <cellStyle name="Normal 13 2 3 4 3" xfId="5265"/>
    <cellStyle name="Normal 13 2 3 4 3 2" xfId="8615"/>
    <cellStyle name="Normal 13 2 3 4 4" xfId="10290"/>
    <cellStyle name="Normal 13 2 3 4 5" xfId="6940"/>
    <cellStyle name="Normal 13 2 3 5" xfId="3826"/>
    <cellStyle name="Normal 13 2 3 5 2" xfId="5501"/>
    <cellStyle name="Normal 13 2 3 5 2 2" xfId="8851"/>
    <cellStyle name="Normal 13 2 3 5 3" xfId="10526"/>
    <cellStyle name="Normal 13 2 3 5 4" xfId="7176"/>
    <cellStyle name="Normal 13 2 3 6" xfId="4085"/>
    <cellStyle name="Normal 13 2 3 6 2" xfId="5760"/>
    <cellStyle name="Normal 13 2 3 6 2 2" xfId="9110"/>
    <cellStyle name="Normal 13 2 3 6 3" xfId="10785"/>
    <cellStyle name="Normal 13 2 3 6 4" xfId="7435"/>
    <cellStyle name="Normal 13 2 3 7" xfId="4793"/>
    <cellStyle name="Normal 13 2 3 7 2" xfId="8143"/>
    <cellStyle name="Normal 13 2 3 8" xfId="9818"/>
    <cellStyle name="Normal 13 2 3 9" xfId="6468"/>
    <cellStyle name="Normal 13 2 4" xfId="3143"/>
    <cellStyle name="Normal 13 2 4 2" xfId="3261"/>
    <cellStyle name="Normal 13 2 4 2 2" xfId="3497"/>
    <cellStyle name="Normal 13 2 4 2 2 2" xfId="4463"/>
    <cellStyle name="Normal 13 2 4 2 2 2 2" xfId="6138"/>
    <cellStyle name="Normal 13 2 4 2 2 2 2 2" xfId="9488"/>
    <cellStyle name="Normal 13 2 4 2 2 2 3" xfId="11163"/>
    <cellStyle name="Normal 13 2 4 2 2 2 4" xfId="7813"/>
    <cellStyle name="Normal 13 2 4 2 2 3" xfId="5171"/>
    <cellStyle name="Normal 13 2 4 2 2 3 2" xfId="8521"/>
    <cellStyle name="Normal 13 2 4 2 2 4" xfId="10196"/>
    <cellStyle name="Normal 13 2 4 2 2 5" xfId="6846"/>
    <cellStyle name="Normal 13 2 4 2 3" xfId="3732"/>
    <cellStyle name="Normal 13 2 4 2 3 2" xfId="4699"/>
    <cellStyle name="Normal 13 2 4 2 3 2 2" xfId="6374"/>
    <cellStyle name="Normal 13 2 4 2 3 2 2 2" xfId="9724"/>
    <cellStyle name="Normal 13 2 4 2 3 2 3" xfId="11399"/>
    <cellStyle name="Normal 13 2 4 2 3 2 4" xfId="8049"/>
    <cellStyle name="Normal 13 2 4 2 3 3" xfId="5407"/>
    <cellStyle name="Normal 13 2 4 2 3 3 2" xfId="8757"/>
    <cellStyle name="Normal 13 2 4 2 3 4" xfId="10432"/>
    <cellStyle name="Normal 13 2 4 2 3 5" xfId="7082"/>
    <cellStyle name="Normal 13 2 4 2 4" xfId="3968"/>
    <cellStyle name="Normal 13 2 4 2 4 2" xfId="5643"/>
    <cellStyle name="Normal 13 2 4 2 4 2 2" xfId="8993"/>
    <cellStyle name="Normal 13 2 4 2 4 3" xfId="10668"/>
    <cellStyle name="Normal 13 2 4 2 4 4" xfId="7318"/>
    <cellStyle name="Normal 13 2 4 2 5" xfId="4227"/>
    <cellStyle name="Normal 13 2 4 2 5 2" xfId="5902"/>
    <cellStyle name="Normal 13 2 4 2 5 2 2" xfId="9252"/>
    <cellStyle name="Normal 13 2 4 2 5 3" xfId="10927"/>
    <cellStyle name="Normal 13 2 4 2 5 4" xfId="7577"/>
    <cellStyle name="Normal 13 2 4 2 6" xfId="4935"/>
    <cellStyle name="Normal 13 2 4 2 6 2" xfId="8285"/>
    <cellStyle name="Normal 13 2 4 2 7" xfId="9960"/>
    <cellStyle name="Normal 13 2 4 2 8" xfId="6610"/>
    <cellStyle name="Normal 13 2 4 3" xfId="3379"/>
    <cellStyle name="Normal 13 2 4 3 2" xfId="4345"/>
    <cellStyle name="Normal 13 2 4 3 2 2" xfId="6020"/>
    <cellStyle name="Normal 13 2 4 3 2 2 2" xfId="9370"/>
    <cellStyle name="Normal 13 2 4 3 2 3" xfId="11045"/>
    <cellStyle name="Normal 13 2 4 3 2 4" xfId="7695"/>
    <cellStyle name="Normal 13 2 4 3 3" xfId="5053"/>
    <cellStyle name="Normal 13 2 4 3 3 2" xfId="8403"/>
    <cellStyle name="Normal 13 2 4 3 4" xfId="10078"/>
    <cellStyle name="Normal 13 2 4 3 5" xfId="6728"/>
    <cellStyle name="Normal 13 2 4 4" xfId="3614"/>
    <cellStyle name="Normal 13 2 4 4 2" xfId="4581"/>
    <cellStyle name="Normal 13 2 4 4 2 2" xfId="6256"/>
    <cellStyle name="Normal 13 2 4 4 2 2 2" xfId="9606"/>
    <cellStyle name="Normal 13 2 4 4 2 3" xfId="11281"/>
    <cellStyle name="Normal 13 2 4 4 2 4" xfId="7931"/>
    <cellStyle name="Normal 13 2 4 4 3" xfId="5289"/>
    <cellStyle name="Normal 13 2 4 4 3 2" xfId="8639"/>
    <cellStyle name="Normal 13 2 4 4 4" xfId="10314"/>
    <cellStyle name="Normal 13 2 4 4 5" xfId="6964"/>
    <cellStyle name="Normal 13 2 4 5" xfId="3850"/>
    <cellStyle name="Normal 13 2 4 5 2" xfId="5525"/>
    <cellStyle name="Normal 13 2 4 5 2 2" xfId="8875"/>
    <cellStyle name="Normal 13 2 4 5 3" xfId="10550"/>
    <cellStyle name="Normal 13 2 4 5 4" xfId="7200"/>
    <cellStyle name="Normal 13 2 4 6" xfId="4109"/>
    <cellStyle name="Normal 13 2 4 6 2" xfId="5784"/>
    <cellStyle name="Normal 13 2 4 6 2 2" xfId="9134"/>
    <cellStyle name="Normal 13 2 4 6 3" xfId="10809"/>
    <cellStyle name="Normal 13 2 4 6 4" xfId="7459"/>
    <cellStyle name="Normal 13 2 4 7" xfId="4817"/>
    <cellStyle name="Normal 13 2 4 7 2" xfId="8167"/>
    <cellStyle name="Normal 13 2 4 8" xfId="9842"/>
    <cellStyle name="Normal 13 2 4 9" xfId="6492"/>
    <cellStyle name="Normal 13 2 5" xfId="3167"/>
    <cellStyle name="Normal 13 2 5 2" xfId="3285"/>
    <cellStyle name="Normal 13 2 5 2 2" xfId="3521"/>
    <cellStyle name="Normal 13 2 5 2 2 2" xfId="4487"/>
    <cellStyle name="Normal 13 2 5 2 2 2 2" xfId="6162"/>
    <cellStyle name="Normal 13 2 5 2 2 2 2 2" xfId="9512"/>
    <cellStyle name="Normal 13 2 5 2 2 2 3" xfId="11187"/>
    <cellStyle name="Normal 13 2 5 2 2 2 4" xfId="7837"/>
    <cellStyle name="Normal 13 2 5 2 2 3" xfId="5195"/>
    <cellStyle name="Normal 13 2 5 2 2 3 2" xfId="8545"/>
    <cellStyle name="Normal 13 2 5 2 2 4" xfId="10220"/>
    <cellStyle name="Normal 13 2 5 2 2 5" xfId="6870"/>
    <cellStyle name="Normal 13 2 5 2 3" xfId="3756"/>
    <cellStyle name="Normal 13 2 5 2 3 2" xfId="4723"/>
    <cellStyle name="Normal 13 2 5 2 3 2 2" xfId="6398"/>
    <cellStyle name="Normal 13 2 5 2 3 2 2 2" xfId="9748"/>
    <cellStyle name="Normal 13 2 5 2 3 2 3" xfId="11423"/>
    <cellStyle name="Normal 13 2 5 2 3 2 4" xfId="8073"/>
    <cellStyle name="Normal 13 2 5 2 3 3" xfId="5431"/>
    <cellStyle name="Normal 13 2 5 2 3 3 2" xfId="8781"/>
    <cellStyle name="Normal 13 2 5 2 3 4" xfId="10456"/>
    <cellStyle name="Normal 13 2 5 2 3 5" xfId="7106"/>
    <cellStyle name="Normal 13 2 5 2 4" xfId="3992"/>
    <cellStyle name="Normal 13 2 5 2 4 2" xfId="5667"/>
    <cellStyle name="Normal 13 2 5 2 4 2 2" xfId="9017"/>
    <cellStyle name="Normal 13 2 5 2 4 3" xfId="10692"/>
    <cellStyle name="Normal 13 2 5 2 4 4" xfId="7342"/>
    <cellStyle name="Normal 13 2 5 2 5" xfId="4251"/>
    <cellStyle name="Normal 13 2 5 2 5 2" xfId="5926"/>
    <cellStyle name="Normal 13 2 5 2 5 2 2" xfId="9276"/>
    <cellStyle name="Normal 13 2 5 2 5 3" xfId="10951"/>
    <cellStyle name="Normal 13 2 5 2 5 4" xfId="7601"/>
    <cellStyle name="Normal 13 2 5 2 6" xfId="4959"/>
    <cellStyle name="Normal 13 2 5 2 6 2" xfId="8309"/>
    <cellStyle name="Normal 13 2 5 2 7" xfId="9984"/>
    <cellStyle name="Normal 13 2 5 2 8" xfId="6634"/>
    <cellStyle name="Normal 13 2 5 3" xfId="3403"/>
    <cellStyle name="Normal 13 2 5 3 2" xfId="4369"/>
    <cellStyle name="Normal 13 2 5 3 2 2" xfId="6044"/>
    <cellStyle name="Normal 13 2 5 3 2 2 2" xfId="9394"/>
    <cellStyle name="Normal 13 2 5 3 2 3" xfId="11069"/>
    <cellStyle name="Normal 13 2 5 3 2 4" xfId="7719"/>
    <cellStyle name="Normal 13 2 5 3 3" xfId="5077"/>
    <cellStyle name="Normal 13 2 5 3 3 2" xfId="8427"/>
    <cellStyle name="Normal 13 2 5 3 4" xfId="10102"/>
    <cellStyle name="Normal 13 2 5 3 5" xfId="6752"/>
    <cellStyle name="Normal 13 2 5 4" xfId="3638"/>
    <cellStyle name="Normal 13 2 5 4 2" xfId="4605"/>
    <cellStyle name="Normal 13 2 5 4 2 2" xfId="6280"/>
    <cellStyle name="Normal 13 2 5 4 2 2 2" xfId="9630"/>
    <cellStyle name="Normal 13 2 5 4 2 3" xfId="11305"/>
    <cellStyle name="Normal 13 2 5 4 2 4" xfId="7955"/>
    <cellStyle name="Normal 13 2 5 4 3" xfId="5313"/>
    <cellStyle name="Normal 13 2 5 4 3 2" xfId="8663"/>
    <cellStyle name="Normal 13 2 5 4 4" xfId="10338"/>
    <cellStyle name="Normal 13 2 5 4 5" xfId="6988"/>
    <cellStyle name="Normal 13 2 5 5" xfId="3874"/>
    <cellStyle name="Normal 13 2 5 5 2" xfId="5549"/>
    <cellStyle name="Normal 13 2 5 5 2 2" xfId="8899"/>
    <cellStyle name="Normal 13 2 5 5 3" xfId="10574"/>
    <cellStyle name="Normal 13 2 5 5 4" xfId="7224"/>
    <cellStyle name="Normal 13 2 5 6" xfId="4133"/>
    <cellStyle name="Normal 13 2 5 6 2" xfId="5808"/>
    <cellStyle name="Normal 13 2 5 6 2 2" xfId="9158"/>
    <cellStyle name="Normal 13 2 5 6 3" xfId="10833"/>
    <cellStyle name="Normal 13 2 5 6 4" xfId="7483"/>
    <cellStyle name="Normal 13 2 5 7" xfId="4841"/>
    <cellStyle name="Normal 13 2 5 7 2" xfId="8191"/>
    <cellStyle name="Normal 13 2 5 8" xfId="9866"/>
    <cellStyle name="Normal 13 2 5 9" xfId="6516"/>
    <cellStyle name="Normal 13 2 6" xfId="3191"/>
    <cellStyle name="Normal 13 2 6 2" xfId="3427"/>
    <cellStyle name="Normal 13 2 6 2 2" xfId="4393"/>
    <cellStyle name="Normal 13 2 6 2 2 2" xfId="6068"/>
    <cellStyle name="Normal 13 2 6 2 2 2 2" xfId="9418"/>
    <cellStyle name="Normal 13 2 6 2 2 3" xfId="11093"/>
    <cellStyle name="Normal 13 2 6 2 2 4" xfId="7743"/>
    <cellStyle name="Normal 13 2 6 2 3" xfId="5101"/>
    <cellStyle name="Normal 13 2 6 2 3 2" xfId="8451"/>
    <cellStyle name="Normal 13 2 6 2 4" xfId="10126"/>
    <cellStyle name="Normal 13 2 6 2 5" xfId="6776"/>
    <cellStyle name="Normal 13 2 6 3" xfId="3662"/>
    <cellStyle name="Normal 13 2 6 3 2" xfId="4629"/>
    <cellStyle name="Normal 13 2 6 3 2 2" xfId="6304"/>
    <cellStyle name="Normal 13 2 6 3 2 2 2" xfId="9654"/>
    <cellStyle name="Normal 13 2 6 3 2 3" xfId="11329"/>
    <cellStyle name="Normal 13 2 6 3 2 4" xfId="7979"/>
    <cellStyle name="Normal 13 2 6 3 3" xfId="5337"/>
    <cellStyle name="Normal 13 2 6 3 3 2" xfId="8687"/>
    <cellStyle name="Normal 13 2 6 3 4" xfId="10362"/>
    <cellStyle name="Normal 13 2 6 3 5" xfId="7012"/>
    <cellStyle name="Normal 13 2 6 4" xfId="3898"/>
    <cellStyle name="Normal 13 2 6 4 2" xfId="5573"/>
    <cellStyle name="Normal 13 2 6 4 2 2" xfId="8923"/>
    <cellStyle name="Normal 13 2 6 4 3" xfId="10598"/>
    <cellStyle name="Normal 13 2 6 4 4" xfId="7248"/>
    <cellStyle name="Normal 13 2 6 5" xfId="4157"/>
    <cellStyle name="Normal 13 2 6 5 2" xfId="5832"/>
    <cellStyle name="Normal 13 2 6 5 2 2" xfId="9182"/>
    <cellStyle name="Normal 13 2 6 5 3" xfId="10857"/>
    <cellStyle name="Normal 13 2 6 5 4" xfId="7507"/>
    <cellStyle name="Normal 13 2 6 6" xfId="4865"/>
    <cellStyle name="Normal 13 2 6 6 2" xfId="8215"/>
    <cellStyle name="Normal 13 2 6 7" xfId="9890"/>
    <cellStyle name="Normal 13 2 6 8" xfId="6540"/>
    <cellStyle name="Normal 13 2 7" xfId="3309"/>
    <cellStyle name="Normal 13 2 7 2" xfId="4275"/>
    <cellStyle name="Normal 13 2 7 2 2" xfId="5950"/>
    <cellStyle name="Normal 13 2 7 2 2 2" xfId="9300"/>
    <cellStyle name="Normal 13 2 7 2 3" xfId="10975"/>
    <cellStyle name="Normal 13 2 7 2 4" xfId="7625"/>
    <cellStyle name="Normal 13 2 7 3" xfId="4983"/>
    <cellStyle name="Normal 13 2 7 3 2" xfId="8333"/>
    <cellStyle name="Normal 13 2 7 4" xfId="10008"/>
    <cellStyle name="Normal 13 2 7 5" xfId="6658"/>
    <cellStyle name="Normal 13 2 8" xfId="3545"/>
    <cellStyle name="Normal 13 2 8 2" xfId="4511"/>
    <cellStyle name="Normal 13 2 8 2 2" xfId="6186"/>
    <cellStyle name="Normal 13 2 8 2 2 2" xfId="9536"/>
    <cellStyle name="Normal 13 2 8 2 3" xfId="11211"/>
    <cellStyle name="Normal 13 2 8 2 4" xfId="7861"/>
    <cellStyle name="Normal 13 2 8 3" xfId="5219"/>
    <cellStyle name="Normal 13 2 8 3 2" xfId="8569"/>
    <cellStyle name="Normal 13 2 8 4" xfId="10244"/>
    <cellStyle name="Normal 13 2 8 5" xfId="6894"/>
    <cellStyle name="Normal 13 2 9" xfId="3780"/>
    <cellStyle name="Normal 13 2 9 2" xfId="4039"/>
    <cellStyle name="Normal 13 2 9 2 2" xfId="5714"/>
    <cellStyle name="Normal 13 2 9 2 2 2" xfId="9064"/>
    <cellStyle name="Normal 13 2 9 2 3" xfId="10739"/>
    <cellStyle name="Normal 13 2 9 2 4" xfId="7389"/>
    <cellStyle name="Normal 13 2 9 3" xfId="5455"/>
    <cellStyle name="Normal 13 2 9 3 2" xfId="8805"/>
    <cellStyle name="Normal 13 2 9 4" xfId="10480"/>
    <cellStyle name="Normal 13 2 9 5" xfId="7130"/>
    <cellStyle name="Normal 13 3" xfId="3097"/>
    <cellStyle name="Normal 13 3 2" xfId="3214"/>
    <cellStyle name="Normal 13 3 2 2" xfId="3450"/>
    <cellStyle name="Normal 13 3 2 2 2" xfId="4416"/>
    <cellStyle name="Normal 13 3 2 2 2 2" xfId="6091"/>
    <cellStyle name="Normal 13 3 2 2 2 2 2" xfId="9441"/>
    <cellStyle name="Normal 13 3 2 2 2 3" xfId="11116"/>
    <cellStyle name="Normal 13 3 2 2 2 4" xfId="7766"/>
    <cellStyle name="Normal 13 3 2 2 3" xfId="5124"/>
    <cellStyle name="Normal 13 3 2 2 3 2" xfId="8474"/>
    <cellStyle name="Normal 13 3 2 2 4" xfId="10149"/>
    <cellStyle name="Normal 13 3 2 2 5" xfId="6799"/>
    <cellStyle name="Normal 13 3 2 3" xfId="3685"/>
    <cellStyle name="Normal 13 3 2 3 2" xfId="4652"/>
    <cellStyle name="Normal 13 3 2 3 2 2" xfId="6327"/>
    <cellStyle name="Normal 13 3 2 3 2 2 2" xfId="9677"/>
    <cellStyle name="Normal 13 3 2 3 2 3" xfId="11352"/>
    <cellStyle name="Normal 13 3 2 3 2 4" xfId="8002"/>
    <cellStyle name="Normal 13 3 2 3 3" xfId="5360"/>
    <cellStyle name="Normal 13 3 2 3 3 2" xfId="8710"/>
    <cellStyle name="Normal 13 3 2 3 4" xfId="10385"/>
    <cellStyle name="Normal 13 3 2 3 5" xfId="7035"/>
    <cellStyle name="Normal 13 3 2 4" xfId="3921"/>
    <cellStyle name="Normal 13 3 2 4 2" xfId="5596"/>
    <cellStyle name="Normal 13 3 2 4 2 2" xfId="8946"/>
    <cellStyle name="Normal 13 3 2 4 3" xfId="10621"/>
    <cellStyle name="Normal 13 3 2 4 4" xfId="7271"/>
    <cellStyle name="Normal 13 3 2 5" xfId="4180"/>
    <cellStyle name="Normal 13 3 2 5 2" xfId="5855"/>
    <cellStyle name="Normal 13 3 2 5 2 2" xfId="9205"/>
    <cellStyle name="Normal 13 3 2 5 3" xfId="10880"/>
    <cellStyle name="Normal 13 3 2 5 4" xfId="7530"/>
    <cellStyle name="Normal 13 3 2 6" xfId="4888"/>
    <cellStyle name="Normal 13 3 2 6 2" xfId="8238"/>
    <cellStyle name="Normal 13 3 2 7" xfId="9913"/>
    <cellStyle name="Normal 13 3 2 8" xfId="6563"/>
    <cellStyle name="Normal 13 3 3" xfId="3331"/>
    <cellStyle name="Normal 13 3 3 2" xfId="4297"/>
    <cellStyle name="Normal 13 3 3 2 2" xfId="5972"/>
    <cellStyle name="Normal 13 3 3 2 2 2" xfId="9322"/>
    <cellStyle name="Normal 13 3 3 2 3" xfId="10997"/>
    <cellStyle name="Normal 13 3 3 2 4" xfId="7647"/>
    <cellStyle name="Normal 13 3 3 3" xfId="5005"/>
    <cellStyle name="Normal 13 3 3 3 2" xfId="8355"/>
    <cellStyle name="Normal 13 3 3 4" xfId="10030"/>
    <cellStyle name="Normal 13 3 3 5" xfId="6680"/>
    <cellStyle name="Normal 13 3 4" xfId="3566"/>
    <cellStyle name="Normal 13 3 4 2" xfId="4533"/>
    <cellStyle name="Normal 13 3 4 2 2" xfId="6208"/>
    <cellStyle name="Normal 13 3 4 2 2 2" xfId="9558"/>
    <cellStyle name="Normal 13 3 4 2 3" xfId="11233"/>
    <cellStyle name="Normal 13 3 4 2 4" xfId="7883"/>
    <cellStyle name="Normal 13 3 4 3" xfId="5241"/>
    <cellStyle name="Normal 13 3 4 3 2" xfId="8591"/>
    <cellStyle name="Normal 13 3 4 4" xfId="10266"/>
    <cellStyle name="Normal 13 3 4 5" xfId="6916"/>
    <cellStyle name="Normal 13 3 5" xfId="3802"/>
    <cellStyle name="Normal 13 3 5 2" xfId="5477"/>
    <cellStyle name="Normal 13 3 5 2 2" xfId="8827"/>
    <cellStyle name="Normal 13 3 5 3" xfId="10502"/>
    <cellStyle name="Normal 13 3 5 4" xfId="7152"/>
    <cellStyle name="Normal 13 3 6" xfId="4061"/>
    <cellStyle name="Normal 13 3 6 2" xfId="5736"/>
    <cellStyle name="Normal 13 3 6 2 2" xfId="9086"/>
    <cellStyle name="Normal 13 3 6 3" xfId="10761"/>
    <cellStyle name="Normal 13 3 6 4" xfId="7411"/>
    <cellStyle name="Normal 13 3 7" xfId="4769"/>
    <cellStyle name="Normal 13 3 7 2" xfId="8119"/>
    <cellStyle name="Normal 13 3 8" xfId="9794"/>
    <cellStyle name="Normal 13 3 9" xfId="6444"/>
    <cellStyle name="Normal 13 4" xfId="3119"/>
    <cellStyle name="Normal 13 4 2" xfId="3236"/>
    <cellStyle name="Normal 13 4 2 2" xfId="3472"/>
    <cellStyle name="Normal 13 4 2 2 2" xfId="4438"/>
    <cellStyle name="Normal 13 4 2 2 2 2" xfId="6113"/>
    <cellStyle name="Normal 13 4 2 2 2 2 2" xfId="9463"/>
    <cellStyle name="Normal 13 4 2 2 2 3" xfId="11138"/>
    <cellStyle name="Normal 13 4 2 2 2 4" xfId="7788"/>
    <cellStyle name="Normal 13 4 2 2 3" xfId="5146"/>
    <cellStyle name="Normal 13 4 2 2 3 2" xfId="8496"/>
    <cellStyle name="Normal 13 4 2 2 4" xfId="10171"/>
    <cellStyle name="Normal 13 4 2 2 5" xfId="6821"/>
    <cellStyle name="Normal 13 4 2 3" xfId="3707"/>
    <cellStyle name="Normal 13 4 2 3 2" xfId="4674"/>
    <cellStyle name="Normal 13 4 2 3 2 2" xfId="6349"/>
    <cellStyle name="Normal 13 4 2 3 2 2 2" xfId="9699"/>
    <cellStyle name="Normal 13 4 2 3 2 3" xfId="11374"/>
    <cellStyle name="Normal 13 4 2 3 2 4" xfId="8024"/>
    <cellStyle name="Normal 13 4 2 3 3" xfId="5382"/>
    <cellStyle name="Normal 13 4 2 3 3 2" xfId="8732"/>
    <cellStyle name="Normal 13 4 2 3 4" xfId="10407"/>
    <cellStyle name="Normal 13 4 2 3 5" xfId="7057"/>
    <cellStyle name="Normal 13 4 2 4" xfId="3943"/>
    <cellStyle name="Normal 13 4 2 4 2" xfId="5618"/>
    <cellStyle name="Normal 13 4 2 4 2 2" xfId="8968"/>
    <cellStyle name="Normal 13 4 2 4 3" xfId="10643"/>
    <cellStyle name="Normal 13 4 2 4 4" xfId="7293"/>
    <cellStyle name="Normal 13 4 2 5" xfId="4202"/>
    <cellStyle name="Normal 13 4 2 5 2" xfId="5877"/>
    <cellStyle name="Normal 13 4 2 5 2 2" xfId="9227"/>
    <cellStyle name="Normal 13 4 2 5 3" xfId="10902"/>
    <cellStyle name="Normal 13 4 2 5 4" xfId="7552"/>
    <cellStyle name="Normal 13 4 2 6" xfId="4910"/>
    <cellStyle name="Normal 13 4 2 6 2" xfId="8260"/>
    <cellStyle name="Normal 13 4 2 7" xfId="9935"/>
    <cellStyle name="Normal 13 4 2 8" xfId="6585"/>
    <cellStyle name="Normal 13 4 3" xfId="3354"/>
    <cellStyle name="Normal 13 4 3 2" xfId="4320"/>
    <cellStyle name="Normal 13 4 3 2 2" xfId="5995"/>
    <cellStyle name="Normal 13 4 3 2 2 2" xfId="9345"/>
    <cellStyle name="Normal 13 4 3 2 3" xfId="11020"/>
    <cellStyle name="Normal 13 4 3 2 4" xfId="7670"/>
    <cellStyle name="Normal 13 4 3 3" xfId="5028"/>
    <cellStyle name="Normal 13 4 3 3 2" xfId="8378"/>
    <cellStyle name="Normal 13 4 3 4" xfId="10053"/>
    <cellStyle name="Normal 13 4 3 5" xfId="6703"/>
    <cellStyle name="Normal 13 4 4" xfId="3589"/>
    <cellStyle name="Normal 13 4 4 2" xfId="4556"/>
    <cellStyle name="Normal 13 4 4 2 2" xfId="6231"/>
    <cellStyle name="Normal 13 4 4 2 2 2" xfId="9581"/>
    <cellStyle name="Normal 13 4 4 2 3" xfId="11256"/>
    <cellStyle name="Normal 13 4 4 2 4" xfId="7906"/>
    <cellStyle name="Normal 13 4 4 3" xfId="5264"/>
    <cellStyle name="Normal 13 4 4 3 2" xfId="8614"/>
    <cellStyle name="Normal 13 4 4 4" xfId="10289"/>
    <cellStyle name="Normal 13 4 4 5" xfId="6939"/>
    <cellStyle name="Normal 13 4 5" xfId="3825"/>
    <cellStyle name="Normal 13 4 5 2" xfId="5500"/>
    <cellStyle name="Normal 13 4 5 2 2" xfId="8850"/>
    <cellStyle name="Normal 13 4 5 3" xfId="10525"/>
    <cellStyle name="Normal 13 4 5 4" xfId="7175"/>
    <cellStyle name="Normal 13 4 6" xfId="4084"/>
    <cellStyle name="Normal 13 4 6 2" xfId="5759"/>
    <cellStyle name="Normal 13 4 6 2 2" xfId="9109"/>
    <cellStyle name="Normal 13 4 6 3" xfId="10784"/>
    <cellStyle name="Normal 13 4 6 4" xfId="7434"/>
    <cellStyle name="Normal 13 4 7" xfId="4792"/>
    <cellStyle name="Normal 13 4 7 2" xfId="8142"/>
    <cellStyle name="Normal 13 4 8" xfId="9817"/>
    <cellStyle name="Normal 13 4 9" xfId="6467"/>
    <cellStyle name="Normal 13 5" xfId="3142"/>
    <cellStyle name="Normal 13 5 2" xfId="3260"/>
    <cellStyle name="Normal 13 5 2 2" xfId="3496"/>
    <cellStyle name="Normal 13 5 2 2 2" xfId="4462"/>
    <cellStyle name="Normal 13 5 2 2 2 2" xfId="6137"/>
    <cellStyle name="Normal 13 5 2 2 2 2 2" xfId="9487"/>
    <cellStyle name="Normal 13 5 2 2 2 3" xfId="11162"/>
    <cellStyle name="Normal 13 5 2 2 2 4" xfId="7812"/>
    <cellStyle name="Normal 13 5 2 2 3" xfId="5170"/>
    <cellStyle name="Normal 13 5 2 2 3 2" xfId="8520"/>
    <cellStyle name="Normal 13 5 2 2 4" xfId="10195"/>
    <cellStyle name="Normal 13 5 2 2 5" xfId="6845"/>
    <cellStyle name="Normal 13 5 2 3" xfId="3731"/>
    <cellStyle name="Normal 13 5 2 3 2" xfId="4698"/>
    <cellStyle name="Normal 13 5 2 3 2 2" xfId="6373"/>
    <cellStyle name="Normal 13 5 2 3 2 2 2" xfId="9723"/>
    <cellStyle name="Normal 13 5 2 3 2 3" xfId="11398"/>
    <cellStyle name="Normal 13 5 2 3 2 4" xfId="8048"/>
    <cellStyle name="Normal 13 5 2 3 3" xfId="5406"/>
    <cellStyle name="Normal 13 5 2 3 3 2" xfId="8756"/>
    <cellStyle name="Normal 13 5 2 3 4" xfId="10431"/>
    <cellStyle name="Normal 13 5 2 3 5" xfId="7081"/>
    <cellStyle name="Normal 13 5 2 4" xfId="3967"/>
    <cellStyle name="Normal 13 5 2 4 2" xfId="5642"/>
    <cellStyle name="Normal 13 5 2 4 2 2" xfId="8992"/>
    <cellStyle name="Normal 13 5 2 4 3" xfId="10667"/>
    <cellStyle name="Normal 13 5 2 4 4" xfId="7317"/>
    <cellStyle name="Normal 13 5 2 5" xfId="4226"/>
    <cellStyle name="Normal 13 5 2 5 2" xfId="5901"/>
    <cellStyle name="Normal 13 5 2 5 2 2" xfId="9251"/>
    <cellStyle name="Normal 13 5 2 5 3" xfId="10926"/>
    <cellStyle name="Normal 13 5 2 5 4" xfId="7576"/>
    <cellStyle name="Normal 13 5 2 6" xfId="4934"/>
    <cellStyle name="Normal 13 5 2 6 2" xfId="8284"/>
    <cellStyle name="Normal 13 5 2 7" xfId="9959"/>
    <cellStyle name="Normal 13 5 2 8" xfId="6609"/>
    <cellStyle name="Normal 13 5 3" xfId="3378"/>
    <cellStyle name="Normal 13 5 3 2" xfId="4344"/>
    <cellStyle name="Normal 13 5 3 2 2" xfId="6019"/>
    <cellStyle name="Normal 13 5 3 2 2 2" xfId="9369"/>
    <cellStyle name="Normal 13 5 3 2 3" xfId="11044"/>
    <cellStyle name="Normal 13 5 3 2 4" xfId="7694"/>
    <cellStyle name="Normal 13 5 3 3" xfId="5052"/>
    <cellStyle name="Normal 13 5 3 3 2" xfId="8402"/>
    <cellStyle name="Normal 13 5 3 4" xfId="10077"/>
    <cellStyle name="Normal 13 5 3 5" xfId="6727"/>
    <cellStyle name="Normal 13 5 4" xfId="3613"/>
    <cellStyle name="Normal 13 5 4 2" xfId="4580"/>
    <cellStyle name="Normal 13 5 4 2 2" xfId="6255"/>
    <cellStyle name="Normal 13 5 4 2 2 2" xfId="9605"/>
    <cellStyle name="Normal 13 5 4 2 3" xfId="11280"/>
    <cellStyle name="Normal 13 5 4 2 4" xfId="7930"/>
    <cellStyle name="Normal 13 5 4 3" xfId="5288"/>
    <cellStyle name="Normal 13 5 4 3 2" xfId="8638"/>
    <cellStyle name="Normal 13 5 4 4" xfId="10313"/>
    <cellStyle name="Normal 13 5 4 5" xfId="6963"/>
    <cellStyle name="Normal 13 5 5" xfId="3849"/>
    <cellStyle name="Normal 13 5 5 2" xfId="5524"/>
    <cellStyle name="Normal 13 5 5 2 2" xfId="8874"/>
    <cellStyle name="Normal 13 5 5 3" xfId="10549"/>
    <cellStyle name="Normal 13 5 5 4" xfId="7199"/>
    <cellStyle name="Normal 13 5 6" xfId="4108"/>
    <cellStyle name="Normal 13 5 6 2" xfId="5783"/>
    <cellStyle name="Normal 13 5 6 2 2" xfId="9133"/>
    <cellStyle name="Normal 13 5 6 3" xfId="10808"/>
    <cellStyle name="Normal 13 5 6 4" xfId="7458"/>
    <cellStyle name="Normal 13 5 7" xfId="4816"/>
    <cellStyle name="Normal 13 5 7 2" xfId="8166"/>
    <cellStyle name="Normal 13 5 8" xfId="9841"/>
    <cellStyle name="Normal 13 5 9" xfId="6491"/>
    <cellStyle name="Normal 13 6" xfId="3166"/>
    <cellStyle name="Normal 13 6 2" xfId="3284"/>
    <cellStyle name="Normal 13 6 2 2" xfId="3520"/>
    <cellStyle name="Normal 13 6 2 2 2" xfId="4486"/>
    <cellStyle name="Normal 13 6 2 2 2 2" xfId="6161"/>
    <cellStyle name="Normal 13 6 2 2 2 2 2" xfId="9511"/>
    <cellStyle name="Normal 13 6 2 2 2 3" xfId="11186"/>
    <cellStyle name="Normal 13 6 2 2 2 4" xfId="7836"/>
    <cellStyle name="Normal 13 6 2 2 3" xfId="5194"/>
    <cellStyle name="Normal 13 6 2 2 3 2" xfId="8544"/>
    <cellStyle name="Normal 13 6 2 2 4" xfId="10219"/>
    <cellStyle name="Normal 13 6 2 2 5" xfId="6869"/>
    <cellStyle name="Normal 13 6 2 3" xfId="3755"/>
    <cellStyle name="Normal 13 6 2 3 2" xfId="4722"/>
    <cellStyle name="Normal 13 6 2 3 2 2" xfId="6397"/>
    <cellStyle name="Normal 13 6 2 3 2 2 2" xfId="9747"/>
    <cellStyle name="Normal 13 6 2 3 2 3" xfId="11422"/>
    <cellStyle name="Normal 13 6 2 3 2 4" xfId="8072"/>
    <cellStyle name="Normal 13 6 2 3 3" xfId="5430"/>
    <cellStyle name="Normal 13 6 2 3 3 2" xfId="8780"/>
    <cellStyle name="Normal 13 6 2 3 4" xfId="10455"/>
    <cellStyle name="Normal 13 6 2 3 5" xfId="7105"/>
    <cellStyle name="Normal 13 6 2 4" xfId="3991"/>
    <cellStyle name="Normal 13 6 2 4 2" xfId="5666"/>
    <cellStyle name="Normal 13 6 2 4 2 2" xfId="9016"/>
    <cellStyle name="Normal 13 6 2 4 3" xfId="10691"/>
    <cellStyle name="Normal 13 6 2 4 4" xfId="7341"/>
    <cellStyle name="Normal 13 6 2 5" xfId="4250"/>
    <cellStyle name="Normal 13 6 2 5 2" xfId="5925"/>
    <cellStyle name="Normal 13 6 2 5 2 2" xfId="9275"/>
    <cellStyle name="Normal 13 6 2 5 3" xfId="10950"/>
    <cellStyle name="Normal 13 6 2 5 4" xfId="7600"/>
    <cellStyle name="Normal 13 6 2 6" xfId="4958"/>
    <cellStyle name="Normal 13 6 2 6 2" xfId="8308"/>
    <cellStyle name="Normal 13 6 2 7" xfId="9983"/>
    <cellStyle name="Normal 13 6 2 8" xfId="6633"/>
    <cellStyle name="Normal 13 6 3" xfId="3402"/>
    <cellStyle name="Normal 13 6 3 2" xfId="4368"/>
    <cellStyle name="Normal 13 6 3 2 2" xfId="6043"/>
    <cellStyle name="Normal 13 6 3 2 2 2" xfId="9393"/>
    <cellStyle name="Normal 13 6 3 2 3" xfId="11068"/>
    <cellStyle name="Normal 13 6 3 2 4" xfId="7718"/>
    <cellStyle name="Normal 13 6 3 3" xfId="5076"/>
    <cellStyle name="Normal 13 6 3 3 2" xfId="8426"/>
    <cellStyle name="Normal 13 6 3 4" xfId="10101"/>
    <cellStyle name="Normal 13 6 3 5" xfId="6751"/>
    <cellStyle name="Normal 13 6 4" xfId="3637"/>
    <cellStyle name="Normal 13 6 4 2" xfId="4604"/>
    <cellStyle name="Normal 13 6 4 2 2" xfId="6279"/>
    <cellStyle name="Normal 13 6 4 2 2 2" xfId="9629"/>
    <cellStyle name="Normal 13 6 4 2 3" xfId="11304"/>
    <cellStyle name="Normal 13 6 4 2 4" xfId="7954"/>
    <cellStyle name="Normal 13 6 4 3" xfId="5312"/>
    <cellStyle name="Normal 13 6 4 3 2" xfId="8662"/>
    <cellStyle name="Normal 13 6 4 4" xfId="10337"/>
    <cellStyle name="Normal 13 6 4 5" xfId="6987"/>
    <cellStyle name="Normal 13 6 5" xfId="3873"/>
    <cellStyle name="Normal 13 6 5 2" xfId="5548"/>
    <cellStyle name="Normal 13 6 5 2 2" xfId="8898"/>
    <cellStyle name="Normal 13 6 5 3" xfId="10573"/>
    <cellStyle name="Normal 13 6 5 4" xfId="7223"/>
    <cellStyle name="Normal 13 6 6" xfId="4132"/>
    <cellStyle name="Normal 13 6 6 2" xfId="5807"/>
    <cellStyle name="Normal 13 6 6 2 2" xfId="9157"/>
    <cellStyle name="Normal 13 6 6 3" xfId="10832"/>
    <cellStyle name="Normal 13 6 6 4" xfId="7482"/>
    <cellStyle name="Normal 13 6 7" xfId="4840"/>
    <cellStyle name="Normal 13 6 7 2" xfId="8190"/>
    <cellStyle name="Normal 13 6 8" xfId="9865"/>
    <cellStyle name="Normal 13 6 9" xfId="6515"/>
    <cellStyle name="Normal 13 7" xfId="3190"/>
    <cellStyle name="Normal 13 7 2" xfId="3426"/>
    <cellStyle name="Normal 13 7 2 2" xfId="4392"/>
    <cellStyle name="Normal 13 7 2 2 2" xfId="6067"/>
    <cellStyle name="Normal 13 7 2 2 2 2" xfId="9417"/>
    <cellStyle name="Normal 13 7 2 2 3" xfId="11092"/>
    <cellStyle name="Normal 13 7 2 2 4" xfId="7742"/>
    <cellStyle name="Normal 13 7 2 3" xfId="5100"/>
    <cellStyle name="Normal 13 7 2 3 2" xfId="8450"/>
    <cellStyle name="Normal 13 7 2 4" xfId="10125"/>
    <cellStyle name="Normal 13 7 2 5" xfId="6775"/>
    <cellStyle name="Normal 13 7 3" xfId="3661"/>
    <cellStyle name="Normal 13 7 3 2" xfId="4628"/>
    <cellStyle name="Normal 13 7 3 2 2" xfId="6303"/>
    <cellStyle name="Normal 13 7 3 2 2 2" xfId="9653"/>
    <cellStyle name="Normal 13 7 3 2 3" xfId="11328"/>
    <cellStyle name="Normal 13 7 3 2 4" xfId="7978"/>
    <cellStyle name="Normal 13 7 3 3" xfId="5336"/>
    <cellStyle name="Normal 13 7 3 3 2" xfId="8686"/>
    <cellStyle name="Normal 13 7 3 4" xfId="10361"/>
    <cellStyle name="Normal 13 7 3 5" xfId="7011"/>
    <cellStyle name="Normal 13 7 4" xfId="3897"/>
    <cellStyle name="Normal 13 7 4 2" xfId="5572"/>
    <cellStyle name="Normal 13 7 4 2 2" xfId="8922"/>
    <cellStyle name="Normal 13 7 4 3" xfId="10597"/>
    <cellStyle name="Normal 13 7 4 4" xfId="7247"/>
    <cellStyle name="Normal 13 7 5" xfId="4156"/>
    <cellStyle name="Normal 13 7 5 2" xfId="5831"/>
    <cellStyle name="Normal 13 7 5 2 2" xfId="9181"/>
    <cellStyle name="Normal 13 7 5 3" xfId="10856"/>
    <cellStyle name="Normal 13 7 5 4" xfId="7506"/>
    <cellStyle name="Normal 13 7 6" xfId="4864"/>
    <cellStyle name="Normal 13 7 6 2" xfId="8214"/>
    <cellStyle name="Normal 13 7 7" xfId="9889"/>
    <cellStyle name="Normal 13 7 8" xfId="6539"/>
    <cellStyle name="Normal 13 8" xfId="3308"/>
    <cellStyle name="Normal 13 8 2" xfId="4274"/>
    <cellStyle name="Normal 13 8 2 2" xfId="5949"/>
    <cellStyle name="Normal 13 8 2 2 2" xfId="9299"/>
    <cellStyle name="Normal 13 8 2 3" xfId="10974"/>
    <cellStyle name="Normal 13 8 2 4" xfId="7624"/>
    <cellStyle name="Normal 13 8 3" xfId="4982"/>
    <cellStyle name="Normal 13 8 3 2" xfId="8332"/>
    <cellStyle name="Normal 13 8 4" xfId="10007"/>
    <cellStyle name="Normal 13 8 5" xfId="6657"/>
    <cellStyle name="Normal 13 9" xfId="3544"/>
    <cellStyle name="Normal 13 9 2" xfId="4510"/>
    <cellStyle name="Normal 13 9 2 2" xfId="6185"/>
    <cellStyle name="Normal 13 9 2 2 2" xfId="9535"/>
    <cellStyle name="Normal 13 9 2 3" xfId="11210"/>
    <cellStyle name="Normal 13 9 2 4" xfId="7860"/>
    <cellStyle name="Normal 13 9 3" xfId="5218"/>
    <cellStyle name="Normal 13 9 3 2" xfId="8568"/>
    <cellStyle name="Normal 13 9 4" xfId="10243"/>
    <cellStyle name="Normal 13 9 5" xfId="6893"/>
    <cellStyle name="Normal 14" xfId="2083"/>
    <cellStyle name="Normal 14 2" xfId="2415"/>
    <cellStyle name="Normal 14 2 2" xfId="2632"/>
    <cellStyle name="Normal 14 2 2 2" xfId="2834"/>
    <cellStyle name="Normal 14 2 3" xfId="24"/>
    <cellStyle name="Normal 14 3" xfId="2796"/>
    <cellStyle name="Normal 15" xfId="277"/>
    <cellStyle name="Normal 15 2" xfId="2084"/>
    <cellStyle name="Normal 15 2 2" xfId="2416"/>
    <cellStyle name="Normal 15 2 2 2" xfId="2819"/>
    <cellStyle name="Normal 15 3" xfId="2085"/>
    <cellStyle name="Normal 16" xfId="2086"/>
    <cellStyle name="Normal 16 10" xfId="3781"/>
    <cellStyle name="Normal 16 10 2" xfId="4040"/>
    <cellStyle name="Normal 16 10 2 2" xfId="5715"/>
    <cellStyle name="Normal 16 10 2 2 2" xfId="9065"/>
    <cellStyle name="Normal 16 10 2 3" xfId="10740"/>
    <cellStyle name="Normal 16 10 2 4" xfId="7390"/>
    <cellStyle name="Normal 16 10 3" xfId="5456"/>
    <cellStyle name="Normal 16 10 3 2" xfId="8806"/>
    <cellStyle name="Normal 16 10 4" xfId="10481"/>
    <cellStyle name="Normal 16 10 5" xfId="7131"/>
    <cellStyle name="Normal 16 11" xfId="4017"/>
    <cellStyle name="Normal 16 11 2" xfId="5692"/>
    <cellStyle name="Normal 16 11 2 2" xfId="9042"/>
    <cellStyle name="Normal 16 11 3" xfId="10717"/>
    <cellStyle name="Normal 16 11 4" xfId="7367"/>
    <cellStyle name="Normal 16 12" xfId="4748"/>
    <cellStyle name="Normal 16 12 2" xfId="8098"/>
    <cellStyle name="Normal 16 13" xfId="9773"/>
    <cellStyle name="Normal 16 14" xfId="6423"/>
    <cellStyle name="Normal 16 15" xfId="12230"/>
    <cellStyle name="Normal 16 2" xfId="2418"/>
    <cellStyle name="Normal 16 3" xfId="2417"/>
    <cellStyle name="Normal 16 3 10" xfId="3099"/>
    <cellStyle name="Normal 16 3 2" xfId="3216"/>
    <cellStyle name="Normal 16 3 2 2" xfId="3452"/>
    <cellStyle name="Normal 16 3 2 2 2" xfId="4418"/>
    <cellStyle name="Normal 16 3 2 2 2 2" xfId="6093"/>
    <cellStyle name="Normal 16 3 2 2 2 2 2" xfId="9443"/>
    <cellStyle name="Normal 16 3 2 2 2 3" xfId="11118"/>
    <cellStyle name="Normal 16 3 2 2 2 4" xfId="7768"/>
    <cellStyle name="Normal 16 3 2 2 3" xfId="5126"/>
    <cellStyle name="Normal 16 3 2 2 3 2" xfId="8476"/>
    <cellStyle name="Normal 16 3 2 2 4" xfId="10151"/>
    <cellStyle name="Normal 16 3 2 2 5" xfId="6801"/>
    <cellStyle name="Normal 16 3 2 3" xfId="3687"/>
    <cellStyle name="Normal 16 3 2 3 2" xfId="4654"/>
    <cellStyle name="Normal 16 3 2 3 2 2" xfId="6329"/>
    <cellStyle name="Normal 16 3 2 3 2 2 2" xfId="9679"/>
    <cellStyle name="Normal 16 3 2 3 2 3" xfId="11354"/>
    <cellStyle name="Normal 16 3 2 3 2 4" xfId="8004"/>
    <cellStyle name="Normal 16 3 2 3 3" xfId="5362"/>
    <cellStyle name="Normal 16 3 2 3 3 2" xfId="8712"/>
    <cellStyle name="Normal 16 3 2 3 4" xfId="10387"/>
    <cellStyle name="Normal 16 3 2 3 5" xfId="7037"/>
    <cellStyle name="Normal 16 3 2 4" xfId="3923"/>
    <cellStyle name="Normal 16 3 2 4 2" xfId="5598"/>
    <cellStyle name="Normal 16 3 2 4 2 2" xfId="8948"/>
    <cellStyle name="Normal 16 3 2 4 3" xfId="10623"/>
    <cellStyle name="Normal 16 3 2 4 4" xfId="7273"/>
    <cellStyle name="Normal 16 3 2 5" xfId="4182"/>
    <cellStyle name="Normal 16 3 2 5 2" xfId="5857"/>
    <cellStyle name="Normal 16 3 2 5 2 2" xfId="9207"/>
    <cellStyle name="Normal 16 3 2 5 3" xfId="10882"/>
    <cellStyle name="Normal 16 3 2 5 4" xfId="7532"/>
    <cellStyle name="Normal 16 3 2 6" xfId="4890"/>
    <cellStyle name="Normal 16 3 2 6 2" xfId="8240"/>
    <cellStyle name="Normal 16 3 2 7" xfId="9915"/>
    <cellStyle name="Normal 16 3 2 8" xfId="6565"/>
    <cellStyle name="Normal 16 3 3" xfId="3333"/>
    <cellStyle name="Normal 16 3 3 2" xfId="4299"/>
    <cellStyle name="Normal 16 3 3 2 2" xfId="5974"/>
    <cellStyle name="Normal 16 3 3 2 2 2" xfId="9324"/>
    <cellStyle name="Normal 16 3 3 2 3" xfId="10999"/>
    <cellStyle name="Normal 16 3 3 2 4" xfId="7649"/>
    <cellStyle name="Normal 16 3 3 3" xfId="5007"/>
    <cellStyle name="Normal 16 3 3 3 2" xfId="8357"/>
    <cellStyle name="Normal 16 3 3 4" xfId="10032"/>
    <cellStyle name="Normal 16 3 3 5" xfId="6682"/>
    <cellStyle name="Normal 16 3 4" xfId="3568"/>
    <cellStyle name="Normal 16 3 4 2" xfId="4535"/>
    <cellStyle name="Normal 16 3 4 2 2" xfId="6210"/>
    <cellStyle name="Normal 16 3 4 2 2 2" xfId="9560"/>
    <cellStyle name="Normal 16 3 4 2 3" xfId="11235"/>
    <cellStyle name="Normal 16 3 4 2 4" xfId="7885"/>
    <cellStyle name="Normal 16 3 4 3" xfId="5243"/>
    <cellStyle name="Normal 16 3 4 3 2" xfId="8593"/>
    <cellStyle name="Normal 16 3 4 4" xfId="10268"/>
    <cellStyle name="Normal 16 3 4 5" xfId="6918"/>
    <cellStyle name="Normal 16 3 5" xfId="3804"/>
    <cellStyle name="Normal 16 3 5 2" xfId="5479"/>
    <cellStyle name="Normal 16 3 5 2 2" xfId="8829"/>
    <cellStyle name="Normal 16 3 5 3" xfId="10504"/>
    <cellStyle name="Normal 16 3 5 4" xfId="7154"/>
    <cellStyle name="Normal 16 3 6" xfId="4063"/>
    <cellStyle name="Normal 16 3 6 2" xfId="5738"/>
    <cellStyle name="Normal 16 3 6 2 2" xfId="9088"/>
    <cellStyle name="Normal 16 3 6 3" xfId="10763"/>
    <cellStyle name="Normal 16 3 6 4" xfId="7413"/>
    <cellStyle name="Normal 16 3 7" xfId="4771"/>
    <cellStyle name="Normal 16 3 7 2" xfId="8121"/>
    <cellStyle name="Normal 16 3 8" xfId="9796"/>
    <cellStyle name="Normal 16 3 9" xfId="6446"/>
    <cellStyle name="Normal 16 4" xfId="3121"/>
    <cellStyle name="Normal 16 4 2" xfId="3238"/>
    <cellStyle name="Normal 16 4 2 2" xfId="3474"/>
    <cellStyle name="Normal 16 4 2 2 2" xfId="4440"/>
    <cellStyle name="Normal 16 4 2 2 2 2" xfId="6115"/>
    <cellStyle name="Normal 16 4 2 2 2 2 2" xfId="9465"/>
    <cellStyle name="Normal 16 4 2 2 2 3" xfId="11140"/>
    <cellStyle name="Normal 16 4 2 2 2 4" xfId="7790"/>
    <cellStyle name="Normal 16 4 2 2 3" xfId="5148"/>
    <cellStyle name="Normal 16 4 2 2 3 2" xfId="8498"/>
    <cellStyle name="Normal 16 4 2 2 4" xfId="10173"/>
    <cellStyle name="Normal 16 4 2 2 5" xfId="6823"/>
    <cellStyle name="Normal 16 4 2 3" xfId="3709"/>
    <cellStyle name="Normal 16 4 2 3 2" xfId="4676"/>
    <cellStyle name="Normal 16 4 2 3 2 2" xfId="6351"/>
    <cellStyle name="Normal 16 4 2 3 2 2 2" xfId="9701"/>
    <cellStyle name="Normal 16 4 2 3 2 3" xfId="11376"/>
    <cellStyle name="Normal 16 4 2 3 2 4" xfId="8026"/>
    <cellStyle name="Normal 16 4 2 3 3" xfId="5384"/>
    <cellStyle name="Normal 16 4 2 3 3 2" xfId="8734"/>
    <cellStyle name="Normal 16 4 2 3 4" xfId="10409"/>
    <cellStyle name="Normal 16 4 2 3 5" xfId="7059"/>
    <cellStyle name="Normal 16 4 2 4" xfId="3945"/>
    <cellStyle name="Normal 16 4 2 4 2" xfId="5620"/>
    <cellStyle name="Normal 16 4 2 4 2 2" xfId="8970"/>
    <cellStyle name="Normal 16 4 2 4 3" xfId="10645"/>
    <cellStyle name="Normal 16 4 2 4 4" xfId="7295"/>
    <cellStyle name="Normal 16 4 2 5" xfId="4204"/>
    <cellStyle name="Normal 16 4 2 5 2" xfId="5879"/>
    <cellStyle name="Normal 16 4 2 5 2 2" xfId="9229"/>
    <cellStyle name="Normal 16 4 2 5 3" xfId="10904"/>
    <cellStyle name="Normal 16 4 2 5 4" xfId="7554"/>
    <cellStyle name="Normal 16 4 2 6" xfId="4912"/>
    <cellStyle name="Normal 16 4 2 6 2" xfId="8262"/>
    <cellStyle name="Normal 16 4 2 7" xfId="9937"/>
    <cellStyle name="Normal 16 4 2 8" xfId="6587"/>
    <cellStyle name="Normal 16 4 3" xfId="3356"/>
    <cellStyle name="Normal 16 4 3 2" xfId="4322"/>
    <cellStyle name="Normal 16 4 3 2 2" xfId="5997"/>
    <cellStyle name="Normal 16 4 3 2 2 2" xfId="9347"/>
    <cellStyle name="Normal 16 4 3 2 3" xfId="11022"/>
    <cellStyle name="Normal 16 4 3 2 4" xfId="7672"/>
    <cellStyle name="Normal 16 4 3 3" xfId="5030"/>
    <cellStyle name="Normal 16 4 3 3 2" xfId="8380"/>
    <cellStyle name="Normal 16 4 3 4" xfId="10055"/>
    <cellStyle name="Normal 16 4 3 5" xfId="6705"/>
    <cellStyle name="Normal 16 4 4" xfId="3591"/>
    <cellStyle name="Normal 16 4 4 2" xfId="4558"/>
    <cellStyle name="Normal 16 4 4 2 2" xfId="6233"/>
    <cellStyle name="Normal 16 4 4 2 2 2" xfId="9583"/>
    <cellStyle name="Normal 16 4 4 2 3" xfId="11258"/>
    <cellStyle name="Normal 16 4 4 2 4" xfId="7908"/>
    <cellStyle name="Normal 16 4 4 3" xfId="5266"/>
    <cellStyle name="Normal 16 4 4 3 2" xfId="8616"/>
    <cellStyle name="Normal 16 4 4 4" xfId="10291"/>
    <cellStyle name="Normal 16 4 4 5" xfId="6941"/>
    <cellStyle name="Normal 16 4 5" xfId="3827"/>
    <cellStyle name="Normal 16 4 5 2" xfId="5502"/>
    <cellStyle name="Normal 16 4 5 2 2" xfId="8852"/>
    <cellStyle name="Normal 16 4 5 3" xfId="10527"/>
    <cellStyle name="Normal 16 4 5 4" xfId="7177"/>
    <cellStyle name="Normal 16 4 6" xfId="4086"/>
    <cellStyle name="Normal 16 4 6 2" xfId="5761"/>
    <cellStyle name="Normal 16 4 6 2 2" xfId="9111"/>
    <cellStyle name="Normal 16 4 6 3" xfId="10786"/>
    <cellStyle name="Normal 16 4 6 4" xfId="7436"/>
    <cellStyle name="Normal 16 4 7" xfId="4794"/>
    <cellStyle name="Normal 16 4 7 2" xfId="8144"/>
    <cellStyle name="Normal 16 4 8" xfId="9819"/>
    <cellStyle name="Normal 16 4 9" xfId="6469"/>
    <cellStyle name="Normal 16 5" xfId="3144"/>
    <cellStyle name="Normal 16 5 2" xfId="3262"/>
    <cellStyle name="Normal 16 5 2 2" xfId="3498"/>
    <cellStyle name="Normal 16 5 2 2 2" xfId="4464"/>
    <cellStyle name="Normal 16 5 2 2 2 2" xfId="6139"/>
    <cellStyle name="Normal 16 5 2 2 2 2 2" xfId="9489"/>
    <cellStyle name="Normal 16 5 2 2 2 3" xfId="11164"/>
    <cellStyle name="Normal 16 5 2 2 2 4" xfId="7814"/>
    <cellStyle name="Normal 16 5 2 2 3" xfId="5172"/>
    <cellStyle name="Normal 16 5 2 2 3 2" xfId="8522"/>
    <cellStyle name="Normal 16 5 2 2 4" xfId="10197"/>
    <cellStyle name="Normal 16 5 2 2 5" xfId="6847"/>
    <cellStyle name="Normal 16 5 2 3" xfId="3733"/>
    <cellStyle name="Normal 16 5 2 3 2" xfId="4700"/>
    <cellStyle name="Normal 16 5 2 3 2 2" xfId="6375"/>
    <cellStyle name="Normal 16 5 2 3 2 2 2" xfId="9725"/>
    <cellStyle name="Normal 16 5 2 3 2 3" xfId="11400"/>
    <cellStyle name="Normal 16 5 2 3 2 4" xfId="8050"/>
    <cellStyle name="Normal 16 5 2 3 3" xfId="5408"/>
    <cellStyle name="Normal 16 5 2 3 3 2" xfId="8758"/>
    <cellStyle name="Normal 16 5 2 3 4" xfId="10433"/>
    <cellStyle name="Normal 16 5 2 3 5" xfId="7083"/>
    <cellStyle name="Normal 16 5 2 4" xfId="3969"/>
    <cellStyle name="Normal 16 5 2 4 2" xfId="5644"/>
    <cellStyle name="Normal 16 5 2 4 2 2" xfId="8994"/>
    <cellStyle name="Normal 16 5 2 4 3" xfId="10669"/>
    <cellStyle name="Normal 16 5 2 4 4" xfId="7319"/>
    <cellStyle name="Normal 16 5 2 5" xfId="4228"/>
    <cellStyle name="Normal 16 5 2 5 2" xfId="5903"/>
    <cellStyle name="Normal 16 5 2 5 2 2" xfId="9253"/>
    <cellStyle name="Normal 16 5 2 5 3" xfId="10928"/>
    <cellStyle name="Normal 16 5 2 5 4" xfId="7578"/>
    <cellStyle name="Normal 16 5 2 6" xfId="4936"/>
    <cellStyle name="Normal 16 5 2 6 2" xfId="8286"/>
    <cellStyle name="Normal 16 5 2 7" xfId="9961"/>
    <cellStyle name="Normal 16 5 2 8" xfId="6611"/>
    <cellStyle name="Normal 16 5 3" xfId="3380"/>
    <cellStyle name="Normal 16 5 3 2" xfId="4346"/>
    <cellStyle name="Normal 16 5 3 2 2" xfId="6021"/>
    <cellStyle name="Normal 16 5 3 2 2 2" xfId="9371"/>
    <cellStyle name="Normal 16 5 3 2 3" xfId="11046"/>
    <cellStyle name="Normal 16 5 3 2 4" xfId="7696"/>
    <cellStyle name="Normal 16 5 3 3" xfId="5054"/>
    <cellStyle name="Normal 16 5 3 3 2" xfId="8404"/>
    <cellStyle name="Normal 16 5 3 4" xfId="10079"/>
    <cellStyle name="Normal 16 5 3 5" xfId="6729"/>
    <cellStyle name="Normal 16 5 4" xfId="3615"/>
    <cellStyle name="Normal 16 5 4 2" xfId="4582"/>
    <cellStyle name="Normal 16 5 4 2 2" xfId="6257"/>
    <cellStyle name="Normal 16 5 4 2 2 2" xfId="9607"/>
    <cellStyle name="Normal 16 5 4 2 3" xfId="11282"/>
    <cellStyle name="Normal 16 5 4 2 4" xfId="7932"/>
    <cellStyle name="Normal 16 5 4 3" xfId="5290"/>
    <cellStyle name="Normal 16 5 4 3 2" xfId="8640"/>
    <cellStyle name="Normal 16 5 4 4" xfId="10315"/>
    <cellStyle name="Normal 16 5 4 5" xfId="6965"/>
    <cellStyle name="Normal 16 5 5" xfId="3851"/>
    <cellStyle name="Normal 16 5 5 2" xfId="5526"/>
    <cellStyle name="Normal 16 5 5 2 2" xfId="8876"/>
    <cellStyle name="Normal 16 5 5 3" xfId="10551"/>
    <cellStyle name="Normal 16 5 5 4" xfId="7201"/>
    <cellStyle name="Normal 16 5 6" xfId="4110"/>
    <cellStyle name="Normal 16 5 6 2" xfId="5785"/>
    <cellStyle name="Normal 16 5 6 2 2" xfId="9135"/>
    <cellStyle name="Normal 16 5 6 3" xfId="10810"/>
    <cellStyle name="Normal 16 5 6 4" xfId="7460"/>
    <cellStyle name="Normal 16 5 7" xfId="4818"/>
    <cellStyle name="Normal 16 5 7 2" xfId="8168"/>
    <cellStyle name="Normal 16 5 8" xfId="9843"/>
    <cellStyle name="Normal 16 5 9" xfId="6493"/>
    <cellStyle name="Normal 16 6" xfId="3168"/>
    <cellStyle name="Normal 16 6 2" xfId="3286"/>
    <cellStyle name="Normal 16 6 2 2" xfId="3522"/>
    <cellStyle name="Normal 16 6 2 2 2" xfId="4488"/>
    <cellStyle name="Normal 16 6 2 2 2 2" xfId="6163"/>
    <cellStyle name="Normal 16 6 2 2 2 2 2" xfId="9513"/>
    <cellStyle name="Normal 16 6 2 2 2 3" xfId="11188"/>
    <cellStyle name="Normal 16 6 2 2 2 4" xfId="7838"/>
    <cellStyle name="Normal 16 6 2 2 3" xfId="5196"/>
    <cellStyle name="Normal 16 6 2 2 3 2" xfId="8546"/>
    <cellStyle name="Normal 16 6 2 2 4" xfId="10221"/>
    <cellStyle name="Normal 16 6 2 2 5" xfId="6871"/>
    <cellStyle name="Normal 16 6 2 3" xfId="3757"/>
    <cellStyle name="Normal 16 6 2 3 2" xfId="4724"/>
    <cellStyle name="Normal 16 6 2 3 2 2" xfId="6399"/>
    <cellStyle name="Normal 16 6 2 3 2 2 2" xfId="9749"/>
    <cellStyle name="Normal 16 6 2 3 2 3" xfId="11424"/>
    <cellStyle name="Normal 16 6 2 3 2 4" xfId="8074"/>
    <cellStyle name="Normal 16 6 2 3 3" xfId="5432"/>
    <cellStyle name="Normal 16 6 2 3 3 2" xfId="8782"/>
    <cellStyle name="Normal 16 6 2 3 4" xfId="10457"/>
    <cellStyle name="Normal 16 6 2 3 5" xfId="7107"/>
    <cellStyle name="Normal 16 6 2 4" xfId="3993"/>
    <cellStyle name="Normal 16 6 2 4 2" xfId="5668"/>
    <cellStyle name="Normal 16 6 2 4 2 2" xfId="9018"/>
    <cellStyle name="Normal 16 6 2 4 3" xfId="10693"/>
    <cellStyle name="Normal 16 6 2 4 4" xfId="7343"/>
    <cellStyle name="Normal 16 6 2 5" xfId="4252"/>
    <cellStyle name="Normal 16 6 2 5 2" xfId="5927"/>
    <cellStyle name="Normal 16 6 2 5 2 2" xfId="9277"/>
    <cellStyle name="Normal 16 6 2 5 3" xfId="10952"/>
    <cellStyle name="Normal 16 6 2 5 4" xfId="7602"/>
    <cellStyle name="Normal 16 6 2 6" xfId="4960"/>
    <cellStyle name="Normal 16 6 2 6 2" xfId="8310"/>
    <cellStyle name="Normal 16 6 2 7" xfId="9985"/>
    <cellStyle name="Normal 16 6 2 8" xfId="6635"/>
    <cellStyle name="Normal 16 6 3" xfId="3404"/>
    <cellStyle name="Normal 16 6 3 2" xfId="4370"/>
    <cellStyle name="Normal 16 6 3 2 2" xfId="6045"/>
    <cellStyle name="Normal 16 6 3 2 2 2" xfId="9395"/>
    <cellStyle name="Normal 16 6 3 2 3" xfId="11070"/>
    <cellStyle name="Normal 16 6 3 2 4" xfId="7720"/>
    <cellStyle name="Normal 16 6 3 3" xfId="5078"/>
    <cellStyle name="Normal 16 6 3 3 2" xfId="8428"/>
    <cellStyle name="Normal 16 6 3 4" xfId="10103"/>
    <cellStyle name="Normal 16 6 3 5" xfId="6753"/>
    <cellStyle name="Normal 16 6 4" xfId="3639"/>
    <cellStyle name="Normal 16 6 4 2" xfId="4606"/>
    <cellStyle name="Normal 16 6 4 2 2" xfId="6281"/>
    <cellStyle name="Normal 16 6 4 2 2 2" xfId="9631"/>
    <cellStyle name="Normal 16 6 4 2 3" xfId="11306"/>
    <cellStyle name="Normal 16 6 4 2 4" xfId="7956"/>
    <cellStyle name="Normal 16 6 4 3" xfId="5314"/>
    <cellStyle name="Normal 16 6 4 3 2" xfId="8664"/>
    <cellStyle name="Normal 16 6 4 4" xfId="10339"/>
    <cellStyle name="Normal 16 6 4 5" xfId="6989"/>
    <cellStyle name="Normal 16 6 5" xfId="3875"/>
    <cellStyle name="Normal 16 6 5 2" xfId="5550"/>
    <cellStyle name="Normal 16 6 5 2 2" xfId="8900"/>
    <cellStyle name="Normal 16 6 5 3" xfId="10575"/>
    <cellStyle name="Normal 16 6 5 4" xfId="7225"/>
    <cellStyle name="Normal 16 6 6" xfId="4134"/>
    <cellStyle name="Normal 16 6 6 2" xfId="5809"/>
    <cellStyle name="Normal 16 6 6 2 2" xfId="9159"/>
    <cellStyle name="Normal 16 6 6 3" xfId="10834"/>
    <cellStyle name="Normal 16 6 6 4" xfId="7484"/>
    <cellStyle name="Normal 16 6 7" xfId="4842"/>
    <cellStyle name="Normal 16 6 7 2" xfId="8192"/>
    <cellStyle name="Normal 16 6 8" xfId="9867"/>
    <cellStyle name="Normal 16 6 9" xfId="6517"/>
    <cellStyle name="Normal 16 7" xfId="3192"/>
    <cellStyle name="Normal 16 7 2" xfId="3428"/>
    <cellStyle name="Normal 16 7 2 2" xfId="4394"/>
    <cellStyle name="Normal 16 7 2 2 2" xfId="6069"/>
    <cellStyle name="Normal 16 7 2 2 2 2" xfId="9419"/>
    <cellStyle name="Normal 16 7 2 2 3" xfId="11094"/>
    <cellStyle name="Normal 16 7 2 2 4" xfId="7744"/>
    <cellStyle name="Normal 16 7 2 3" xfId="5102"/>
    <cellStyle name="Normal 16 7 2 3 2" xfId="8452"/>
    <cellStyle name="Normal 16 7 2 4" xfId="10127"/>
    <cellStyle name="Normal 16 7 2 5" xfId="6777"/>
    <cellStyle name="Normal 16 7 3" xfId="3663"/>
    <cellStyle name="Normal 16 7 3 2" xfId="4630"/>
    <cellStyle name="Normal 16 7 3 2 2" xfId="6305"/>
    <cellStyle name="Normal 16 7 3 2 2 2" xfId="9655"/>
    <cellStyle name="Normal 16 7 3 2 3" xfId="11330"/>
    <cellStyle name="Normal 16 7 3 2 4" xfId="7980"/>
    <cellStyle name="Normal 16 7 3 3" xfId="5338"/>
    <cellStyle name="Normal 16 7 3 3 2" xfId="8688"/>
    <cellStyle name="Normal 16 7 3 4" xfId="10363"/>
    <cellStyle name="Normal 16 7 3 5" xfId="7013"/>
    <cellStyle name="Normal 16 7 4" xfId="3899"/>
    <cellStyle name="Normal 16 7 4 2" xfId="5574"/>
    <cellStyle name="Normal 16 7 4 2 2" xfId="8924"/>
    <cellStyle name="Normal 16 7 4 3" xfId="10599"/>
    <cellStyle name="Normal 16 7 4 4" xfId="7249"/>
    <cellStyle name="Normal 16 7 5" xfId="4158"/>
    <cellStyle name="Normal 16 7 5 2" xfId="5833"/>
    <cellStyle name="Normal 16 7 5 2 2" xfId="9183"/>
    <cellStyle name="Normal 16 7 5 3" xfId="10858"/>
    <cellStyle name="Normal 16 7 5 4" xfId="7508"/>
    <cellStyle name="Normal 16 7 6" xfId="4866"/>
    <cellStyle name="Normal 16 7 6 2" xfId="8216"/>
    <cellStyle name="Normal 16 7 7" xfId="9891"/>
    <cellStyle name="Normal 16 7 8" xfId="6541"/>
    <cellStyle name="Normal 16 8" xfId="3310"/>
    <cellStyle name="Normal 16 8 2" xfId="4276"/>
    <cellStyle name="Normal 16 8 2 2" xfId="5951"/>
    <cellStyle name="Normal 16 8 2 2 2" xfId="9301"/>
    <cellStyle name="Normal 16 8 2 3" xfId="10976"/>
    <cellStyle name="Normal 16 8 2 4" xfId="7626"/>
    <cellStyle name="Normal 16 8 3" xfId="4984"/>
    <cellStyle name="Normal 16 8 3 2" xfId="8334"/>
    <cellStyle name="Normal 16 8 4" xfId="10009"/>
    <cellStyle name="Normal 16 8 5" xfId="6659"/>
    <cellStyle name="Normal 16 9" xfId="3546"/>
    <cellStyle name="Normal 16 9 2" xfId="4512"/>
    <cellStyle name="Normal 16 9 2 2" xfId="6187"/>
    <cellStyle name="Normal 16 9 2 2 2" xfId="9537"/>
    <cellStyle name="Normal 16 9 2 3" xfId="11212"/>
    <cellStyle name="Normal 16 9 2 4" xfId="7862"/>
    <cellStyle name="Normal 16 9 3" xfId="5220"/>
    <cellStyle name="Normal 16 9 3 2" xfId="8570"/>
    <cellStyle name="Normal 16 9 4" xfId="10245"/>
    <cellStyle name="Normal 16 9 5" xfId="6895"/>
    <cellStyle name="Normal 17" xfId="2087"/>
    <cellStyle name="Normal 17 2" xfId="2633"/>
    <cellStyle name="Normal 17 2 2" xfId="2835"/>
    <cellStyle name="Normal 17 3" xfId="2797"/>
    <cellStyle name="Normal 18" xfId="38"/>
    <cellStyle name="Normal 18 2" xfId="14"/>
    <cellStyle name="Normal 19" xfId="33"/>
    <cellStyle name="Normal 19 2" xfId="2836"/>
    <cellStyle name="Normal 2" xfId="3"/>
    <cellStyle name="Normal 2 10" xfId="22"/>
    <cellStyle name="Normal 2 10 2" xfId="26"/>
    <cellStyle name="Normal 2 10 2 2" xfId="2794"/>
    <cellStyle name="Normal 2 10 2 3" xfId="12077"/>
    <cellStyle name="Normal 2 10 3" xfId="2770"/>
    <cellStyle name="Normal 2 10 4" xfId="12078"/>
    <cellStyle name="Normal 2 11" xfId="346"/>
    <cellStyle name="Normal 2 11 2" xfId="2088"/>
    <cellStyle name="Normal 2 11 3" xfId="2089"/>
    <cellStyle name="Normal 2 11 3 2" xfId="2634"/>
    <cellStyle name="Normal 2 11 3 2 2" xfId="2837"/>
    <cellStyle name="Normal 2 11 3 3" xfId="2798"/>
    <cellStyle name="Normal 2 12" xfId="2090"/>
    <cellStyle name="Normal 2 12 2" xfId="2635"/>
    <cellStyle name="Normal 2 12 2 2" xfId="2838"/>
    <cellStyle name="Normal 2 12 3" xfId="2799"/>
    <cellStyle name="Normal 2 13" xfId="2"/>
    <cellStyle name="Normal 2 13 10" xfId="4018"/>
    <cellStyle name="Normal 2 13 10 2" xfId="5693"/>
    <cellStyle name="Normal 2 13 10 2 2" xfId="9043"/>
    <cellStyle name="Normal 2 13 10 3" xfId="10718"/>
    <cellStyle name="Normal 2 13 10 4" xfId="7368"/>
    <cellStyle name="Normal 2 13 11" xfId="4749"/>
    <cellStyle name="Normal 2 13 11 2" xfId="8099"/>
    <cellStyle name="Normal 2 13 12" xfId="9774"/>
    <cellStyle name="Normal 2 13 13" xfId="6424"/>
    <cellStyle name="Normal 2 13 14" xfId="12231"/>
    <cellStyle name="Normal 2 13 2" xfId="10"/>
    <cellStyle name="Normal 2 13 2 10" xfId="4772"/>
    <cellStyle name="Normal 2 13 2 10 2" xfId="8122"/>
    <cellStyle name="Normal 2 13 2 11" xfId="9797"/>
    <cellStyle name="Normal 2 13 2 12" xfId="6447"/>
    <cellStyle name="Normal 2 13 2 13" xfId="12274"/>
    <cellStyle name="Normal 2 13 2 2" xfId="3137"/>
    <cellStyle name="Normal 2 13 2 2 2" xfId="3255"/>
    <cellStyle name="Normal 2 13 2 2 2 2" xfId="3491"/>
    <cellStyle name="Normal 2 13 2 2 2 2 2" xfId="4457"/>
    <cellStyle name="Normal 2 13 2 2 2 2 2 2" xfId="6132"/>
    <cellStyle name="Normal 2 13 2 2 2 2 2 2 2" xfId="9482"/>
    <cellStyle name="Normal 2 13 2 2 2 2 2 3" xfId="11157"/>
    <cellStyle name="Normal 2 13 2 2 2 2 2 4" xfId="7807"/>
    <cellStyle name="Normal 2 13 2 2 2 2 3" xfId="5165"/>
    <cellStyle name="Normal 2 13 2 2 2 2 3 2" xfId="8515"/>
    <cellStyle name="Normal 2 13 2 2 2 2 4" xfId="10190"/>
    <cellStyle name="Normal 2 13 2 2 2 2 5" xfId="6840"/>
    <cellStyle name="Normal 2 13 2 2 2 3" xfId="3726"/>
    <cellStyle name="Normal 2 13 2 2 2 3 2" xfId="4693"/>
    <cellStyle name="Normal 2 13 2 2 2 3 2 2" xfId="6368"/>
    <cellStyle name="Normal 2 13 2 2 2 3 2 2 2" xfId="9718"/>
    <cellStyle name="Normal 2 13 2 2 2 3 2 3" xfId="11393"/>
    <cellStyle name="Normal 2 13 2 2 2 3 2 4" xfId="8043"/>
    <cellStyle name="Normal 2 13 2 2 2 3 3" xfId="5401"/>
    <cellStyle name="Normal 2 13 2 2 2 3 3 2" xfId="8751"/>
    <cellStyle name="Normal 2 13 2 2 2 3 4" xfId="10426"/>
    <cellStyle name="Normal 2 13 2 2 2 3 5" xfId="7076"/>
    <cellStyle name="Normal 2 13 2 2 2 4" xfId="3962"/>
    <cellStyle name="Normal 2 13 2 2 2 4 2" xfId="5637"/>
    <cellStyle name="Normal 2 13 2 2 2 4 2 2" xfId="8987"/>
    <cellStyle name="Normal 2 13 2 2 2 4 3" xfId="10662"/>
    <cellStyle name="Normal 2 13 2 2 2 4 4" xfId="7312"/>
    <cellStyle name="Normal 2 13 2 2 2 5" xfId="4221"/>
    <cellStyle name="Normal 2 13 2 2 2 5 2" xfId="5896"/>
    <cellStyle name="Normal 2 13 2 2 2 5 2 2" xfId="9246"/>
    <cellStyle name="Normal 2 13 2 2 2 5 3" xfId="10921"/>
    <cellStyle name="Normal 2 13 2 2 2 5 4" xfId="7571"/>
    <cellStyle name="Normal 2 13 2 2 2 6" xfId="4929"/>
    <cellStyle name="Normal 2 13 2 2 2 6 2" xfId="8279"/>
    <cellStyle name="Normal 2 13 2 2 2 7" xfId="9954"/>
    <cellStyle name="Normal 2 13 2 2 2 8" xfId="6604"/>
    <cellStyle name="Normal 2 13 2 2 3" xfId="3373"/>
    <cellStyle name="Normal 2 13 2 2 3 2" xfId="4339"/>
    <cellStyle name="Normal 2 13 2 2 3 2 2" xfId="6014"/>
    <cellStyle name="Normal 2 13 2 2 3 2 2 2" xfId="9364"/>
    <cellStyle name="Normal 2 13 2 2 3 2 3" xfId="11039"/>
    <cellStyle name="Normal 2 13 2 2 3 2 4" xfId="7689"/>
    <cellStyle name="Normal 2 13 2 2 3 3" xfId="5047"/>
    <cellStyle name="Normal 2 13 2 2 3 3 2" xfId="8397"/>
    <cellStyle name="Normal 2 13 2 2 3 4" xfId="10072"/>
    <cellStyle name="Normal 2 13 2 2 3 5" xfId="6722"/>
    <cellStyle name="Normal 2 13 2 2 4" xfId="3608"/>
    <cellStyle name="Normal 2 13 2 2 4 2" xfId="4575"/>
    <cellStyle name="Normal 2 13 2 2 4 2 2" xfId="6250"/>
    <cellStyle name="Normal 2 13 2 2 4 2 2 2" xfId="9600"/>
    <cellStyle name="Normal 2 13 2 2 4 2 3" xfId="11275"/>
    <cellStyle name="Normal 2 13 2 2 4 2 4" xfId="7925"/>
    <cellStyle name="Normal 2 13 2 2 4 3" xfId="5283"/>
    <cellStyle name="Normal 2 13 2 2 4 3 2" xfId="8633"/>
    <cellStyle name="Normal 2 13 2 2 4 4" xfId="10308"/>
    <cellStyle name="Normal 2 13 2 2 4 5" xfId="6958"/>
    <cellStyle name="Normal 2 13 2 2 5" xfId="3844"/>
    <cellStyle name="Normal 2 13 2 2 5 2" xfId="5519"/>
    <cellStyle name="Normal 2 13 2 2 5 2 2" xfId="8869"/>
    <cellStyle name="Normal 2 13 2 2 5 3" xfId="10544"/>
    <cellStyle name="Normal 2 13 2 2 5 4" xfId="7194"/>
    <cellStyle name="Normal 2 13 2 2 6" xfId="4103"/>
    <cellStyle name="Normal 2 13 2 2 6 2" xfId="5778"/>
    <cellStyle name="Normal 2 13 2 2 6 2 2" xfId="9128"/>
    <cellStyle name="Normal 2 13 2 2 6 3" xfId="10803"/>
    <cellStyle name="Normal 2 13 2 2 6 4" xfId="7453"/>
    <cellStyle name="Normal 2 13 2 2 7" xfId="4811"/>
    <cellStyle name="Normal 2 13 2 2 7 2" xfId="8161"/>
    <cellStyle name="Normal 2 13 2 2 8" xfId="9836"/>
    <cellStyle name="Normal 2 13 2 2 9" xfId="6486"/>
    <cellStyle name="Normal 2 13 2 3" xfId="3161"/>
    <cellStyle name="Normal 2 13 2 3 2" xfId="3279"/>
    <cellStyle name="Normal 2 13 2 3 2 2" xfId="3515"/>
    <cellStyle name="Normal 2 13 2 3 2 2 2" xfId="4481"/>
    <cellStyle name="Normal 2 13 2 3 2 2 2 2" xfId="6156"/>
    <cellStyle name="Normal 2 13 2 3 2 2 2 2 2" xfId="9506"/>
    <cellStyle name="Normal 2 13 2 3 2 2 2 3" xfId="11181"/>
    <cellStyle name="Normal 2 13 2 3 2 2 2 4" xfId="7831"/>
    <cellStyle name="Normal 2 13 2 3 2 2 3" xfId="5189"/>
    <cellStyle name="Normal 2 13 2 3 2 2 3 2" xfId="8539"/>
    <cellStyle name="Normal 2 13 2 3 2 2 4" xfId="10214"/>
    <cellStyle name="Normal 2 13 2 3 2 2 5" xfId="6864"/>
    <cellStyle name="Normal 2 13 2 3 2 3" xfId="3750"/>
    <cellStyle name="Normal 2 13 2 3 2 3 2" xfId="4717"/>
    <cellStyle name="Normal 2 13 2 3 2 3 2 2" xfId="6392"/>
    <cellStyle name="Normal 2 13 2 3 2 3 2 2 2" xfId="9742"/>
    <cellStyle name="Normal 2 13 2 3 2 3 2 3" xfId="11417"/>
    <cellStyle name="Normal 2 13 2 3 2 3 2 4" xfId="8067"/>
    <cellStyle name="Normal 2 13 2 3 2 3 3" xfId="5425"/>
    <cellStyle name="Normal 2 13 2 3 2 3 3 2" xfId="8775"/>
    <cellStyle name="Normal 2 13 2 3 2 3 4" xfId="10450"/>
    <cellStyle name="Normal 2 13 2 3 2 3 5" xfId="7100"/>
    <cellStyle name="Normal 2 13 2 3 2 4" xfId="3986"/>
    <cellStyle name="Normal 2 13 2 3 2 4 2" xfId="5661"/>
    <cellStyle name="Normal 2 13 2 3 2 4 2 2" xfId="9011"/>
    <cellStyle name="Normal 2 13 2 3 2 4 3" xfId="10686"/>
    <cellStyle name="Normal 2 13 2 3 2 4 4" xfId="7336"/>
    <cellStyle name="Normal 2 13 2 3 2 5" xfId="4245"/>
    <cellStyle name="Normal 2 13 2 3 2 5 2" xfId="5920"/>
    <cellStyle name="Normal 2 13 2 3 2 5 2 2" xfId="9270"/>
    <cellStyle name="Normal 2 13 2 3 2 5 3" xfId="10945"/>
    <cellStyle name="Normal 2 13 2 3 2 5 4" xfId="7595"/>
    <cellStyle name="Normal 2 13 2 3 2 6" xfId="4953"/>
    <cellStyle name="Normal 2 13 2 3 2 6 2" xfId="8303"/>
    <cellStyle name="Normal 2 13 2 3 2 7" xfId="9978"/>
    <cellStyle name="Normal 2 13 2 3 2 8" xfId="6628"/>
    <cellStyle name="Normal 2 13 2 3 3" xfId="3397"/>
    <cellStyle name="Normal 2 13 2 3 3 2" xfId="4363"/>
    <cellStyle name="Normal 2 13 2 3 3 2 2" xfId="6038"/>
    <cellStyle name="Normal 2 13 2 3 3 2 2 2" xfId="9388"/>
    <cellStyle name="Normal 2 13 2 3 3 2 3" xfId="11063"/>
    <cellStyle name="Normal 2 13 2 3 3 2 4" xfId="7713"/>
    <cellStyle name="Normal 2 13 2 3 3 3" xfId="5071"/>
    <cellStyle name="Normal 2 13 2 3 3 3 2" xfId="8421"/>
    <cellStyle name="Normal 2 13 2 3 3 4" xfId="10096"/>
    <cellStyle name="Normal 2 13 2 3 3 5" xfId="6746"/>
    <cellStyle name="Normal 2 13 2 3 4" xfId="3632"/>
    <cellStyle name="Normal 2 13 2 3 4 2" xfId="4599"/>
    <cellStyle name="Normal 2 13 2 3 4 2 2" xfId="6274"/>
    <cellStyle name="Normal 2 13 2 3 4 2 2 2" xfId="9624"/>
    <cellStyle name="Normal 2 13 2 3 4 2 3" xfId="11299"/>
    <cellStyle name="Normal 2 13 2 3 4 2 4" xfId="7949"/>
    <cellStyle name="Normal 2 13 2 3 4 3" xfId="5307"/>
    <cellStyle name="Normal 2 13 2 3 4 3 2" xfId="8657"/>
    <cellStyle name="Normal 2 13 2 3 4 4" xfId="10332"/>
    <cellStyle name="Normal 2 13 2 3 4 5" xfId="6982"/>
    <cellStyle name="Normal 2 13 2 3 5" xfId="3868"/>
    <cellStyle name="Normal 2 13 2 3 5 2" xfId="5543"/>
    <cellStyle name="Normal 2 13 2 3 5 2 2" xfId="8893"/>
    <cellStyle name="Normal 2 13 2 3 5 3" xfId="10568"/>
    <cellStyle name="Normal 2 13 2 3 5 4" xfId="7218"/>
    <cellStyle name="Normal 2 13 2 3 6" xfId="4127"/>
    <cellStyle name="Normal 2 13 2 3 6 2" xfId="5802"/>
    <cellStyle name="Normal 2 13 2 3 6 2 2" xfId="9152"/>
    <cellStyle name="Normal 2 13 2 3 6 3" xfId="10827"/>
    <cellStyle name="Normal 2 13 2 3 6 4" xfId="7477"/>
    <cellStyle name="Normal 2 13 2 3 7" xfId="4835"/>
    <cellStyle name="Normal 2 13 2 3 7 2" xfId="8185"/>
    <cellStyle name="Normal 2 13 2 3 8" xfId="9860"/>
    <cellStyle name="Normal 2 13 2 3 9" xfId="6510"/>
    <cellStyle name="Normal 2 13 2 4" xfId="3185"/>
    <cellStyle name="Normal 2 13 2 4 2" xfId="3303"/>
    <cellStyle name="Normal 2 13 2 4 2 2" xfId="3539"/>
    <cellStyle name="Normal 2 13 2 4 2 2 2" xfId="4505"/>
    <cellStyle name="Normal 2 13 2 4 2 2 2 2" xfId="6180"/>
    <cellStyle name="Normal 2 13 2 4 2 2 2 2 2" xfId="9530"/>
    <cellStyle name="Normal 2 13 2 4 2 2 2 3" xfId="11205"/>
    <cellStyle name="Normal 2 13 2 4 2 2 2 4" xfId="7855"/>
    <cellStyle name="Normal 2 13 2 4 2 2 3" xfId="5213"/>
    <cellStyle name="Normal 2 13 2 4 2 2 3 2" xfId="8563"/>
    <cellStyle name="Normal 2 13 2 4 2 2 4" xfId="10238"/>
    <cellStyle name="Normal 2 13 2 4 2 2 5" xfId="6888"/>
    <cellStyle name="Normal 2 13 2 4 2 3" xfId="3774"/>
    <cellStyle name="Normal 2 13 2 4 2 3 2" xfId="4741"/>
    <cellStyle name="Normal 2 13 2 4 2 3 2 2" xfId="6416"/>
    <cellStyle name="Normal 2 13 2 4 2 3 2 2 2" xfId="9766"/>
    <cellStyle name="Normal 2 13 2 4 2 3 2 3" xfId="11441"/>
    <cellStyle name="Normal 2 13 2 4 2 3 2 4" xfId="8091"/>
    <cellStyle name="Normal 2 13 2 4 2 3 3" xfId="5449"/>
    <cellStyle name="Normal 2 13 2 4 2 3 3 2" xfId="8799"/>
    <cellStyle name="Normal 2 13 2 4 2 3 4" xfId="10474"/>
    <cellStyle name="Normal 2 13 2 4 2 3 5" xfId="7124"/>
    <cellStyle name="Normal 2 13 2 4 2 4" xfId="4010"/>
    <cellStyle name="Normal 2 13 2 4 2 4 2" xfId="5685"/>
    <cellStyle name="Normal 2 13 2 4 2 4 2 2" xfId="9035"/>
    <cellStyle name="Normal 2 13 2 4 2 4 3" xfId="10710"/>
    <cellStyle name="Normal 2 13 2 4 2 4 4" xfId="7360"/>
    <cellStyle name="Normal 2 13 2 4 2 5" xfId="4269"/>
    <cellStyle name="Normal 2 13 2 4 2 5 2" xfId="5944"/>
    <cellStyle name="Normal 2 13 2 4 2 5 2 2" xfId="9294"/>
    <cellStyle name="Normal 2 13 2 4 2 5 3" xfId="10969"/>
    <cellStyle name="Normal 2 13 2 4 2 5 4" xfId="7619"/>
    <cellStyle name="Normal 2 13 2 4 2 6" xfId="4977"/>
    <cellStyle name="Normal 2 13 2 4 2 6 2" xfId="8327"/>
    <cellStyle name="Normal 2 13 2 4 2 7" xfId="10002"/>
    <cellStyle name="Normal 2 13 2 4 2 8" xfId="6652"/>
    <cellStyle name="Normal 2 13 2 4 3" xfId="3421"/>
    <cellStyle name="Normal 2 13 2 4 3 2" xfId="4387"/>
    <cellStyle name="Normal 2 13 2 4 3 2 2" xfId="6062"/>
    <cellStyle name="Normal 2 13 2 4 3 2 2 2" xfId="9412"/>
    <cellStyle name="Normal 2 13 2 4 3 2 3" xfId="11087"/>
    <cellStyle name="Normal 2 13 2 4 3 2 4" xfId="7737"/>
    <cellStyle name="Normal 2 13 2 4 3 3" xfId="5095"/>
    <cellStyle name="Normal 2 13 2 4 3 3 2" xfId="8445"/>
    <cellStyle name="Normal 2 13 2 4 3 4" xfId="10120"/>
    <cellStyle name="Normal 2 13 2 4 3 5" xfId="6770"/>
    <cellStyle name="Normal 2 13 2 4 4" xfId="3656"/>
    <cellStyle name="Normal 2 13 2 4 4 2" xfId="4623"/>
    <cellStyle name="Normal 2 13 2 4 4 2 2" xfId="6298"/>
    <cellStyle name="Normal 2 13 2 4 4 2 2 2" xfId="9648"/>
    <cellStyle name="Normal 2 13 2 4 4 2 3" xfId="11323"/>
    <cellStyle name="Normal 2 13 2 4 4 2 4" xfId="7973"/>
    <cellStyle name="Normal 2 13 2 4 4 3" xfId="5331"/>
    <cellStyle name="Normal 2 13 2 4 4 3 2" xfId="8681"/>
    <cellStyle name="Normal 2 13 2 4 4 4" xfId="10356"/>
    <cellStyle name="Normal 2 13 2 4 4 5" xfId="7006"/>
    <cellStyle name="Normal 2 13 2 4 5" xfId="3892"/>
    <cellStyle name="Normal 2 13 2 4 5 2" xfId="5567"/>
    <cellStyle name="Normal 2 13 2 4 5 2 2" xfId="8917"/>
    <cellStyle name="Normal 2 13 2 4 5 3" xfId="10592"/>
    <cellStyle name="Normal 2 13 2 4 5 4" xfId="7242"/>
    <cellStyle name="Normal 2 13 2 4 6" xfId="4151"/>
    <cellStyle name="Normal 2 13 2 4 6 2" xfId="5826"/>
    <cellStyle name="Normal 2 13 2 4 6 2 2" xfId="9176"/>
    <cellStyle name="Normal 2 13 2 4 6 3" xfId="10851"/>
    <cellStyle name="Normal 2 13 2 4 6 4" xfId="7501"/>
    <cellStyle name="Normal 2 13 2 4 7" xfId="4859"/>
    <cellStyle name="Normal 2 13 2 4 7 2" xfId="8209"/>
    <cellStyle name="Normal 2 13 2 4 8" xfId="9884"/>
    <cellStyle name="Normal 2 13 2 4 9" xfId="6534"/>
    <cellStyle name="Normal 2 13 2 5" xfId="3209"/>
    <cellStyle name="Normal 2 13 2 5 2" xfId="3445"/>
    <cellStyle name="Normal 2 13 2 5 2 2" xfId="4411"/>
    <cellStyle name="Normal 2 13 2 5 2 2 2" xfId="6086"/>
    <cellStyle name="Normal 2 13 2 5 2 2 2 2" xfId="9436"/>
    <cellStyle name="Normal 2 13 2 5 2 2 3" xfId="11111"/>
    <cellStyle name="Normal 2 13 2 5 2 2 4" xfId="7761"/>
    <cellStyle name="Normal 2 13 2 5 2 3" xfId="5119"/>
    <cellStyle name="Normal 2 13 2 5 2 3 2" xfId="8469"/>
    <cellStyle name="Normal 2 13 2 5 2 4" xfId="10144"/>
    <cellStyle name="Normal 2 13 2 5 2 5" xfId="6794"/>
    <cellStyle name="Normal 2 13 2 5 3" xfId="3680"/>
    <cellStyle name="Normal 2 13 2 5 3 2" xfId="4647"/>
    <cellStyle name="Normal 2 13 2 5 3 2 2" xfId="6322"/>
    <cellStyle name="Normal 2 13 2 5 3 2 2 2" xfId="9672"/>
    <cellStyle name="Normal 2 13 2 5 3 2 3" xfId="11347"/>
    <cellStyle name="Normal 2 13 2 5 3 2 4" xfId="7997"/>
    <cellStyle name="Normal 2 13 2 5 3 3" xfId="5355"/>
    <cellStyle name="Normal 2 13 2 5 3 3 2" xfId="8705"/>
    <cellStyle name="Normal 2 13 2 5 3 4" xfId="10380"/>
    <cellStyle name="Normal 2 13 2 5 3 5" xfId="7030"/>
    <cellStyle name="Normal 2 13 2 5 4" xfId="3916"/>
    <cellStyle name="Normal 2 13 2 5 4 2" xfId="5591"/>
    <cellStyle name="Normal 2 13 2 5 4 2 2" xfId="8941"/>
    <cellStyle name="Normal 2 13 2 5 4 3" xfId="10616"/>
    <cellStyle name="Normal 2 13 2 5 4 4" xfId="7266"/>
    <cellStyle name="Normal 2 13 2 5 5" xfId="4175"/>
    <cellStyle name="Normal 2 13 2 5 5 2" xfId="5850"/>
    <cellStyle name="Normal 2 13 2 5 5 2 2" xfId="9200"/>
    <cellStyle name="Normal 2 13 2 5 5 3" xfId="10875"/>
    <cellStyle name="Normal 2 13 2 5 5 4" xfId="7525"/>
    <cellStyle name="Normal 2 13 2 5 6" xfId="4883"/>
    <cellStyle name="Normal 2 13 2 5 6 2" xfId="8233"/>
    <cellStyle name="Normal 2 13 2 5 7" xfId="9908"/>
    <cellStyle name="Normal 2 13 2 5 8" xfId="6558"/>
    <cellStyle name="Normal 2 13 2 6" xfId="3334"/>
    <cellStyle name="Normal 2 13 2 6 2" xfId="4300"/>
    <cellStyle name="Normal 2 13 2 6 2 2" xfId="5975"/>
    <cellStyle name="Normal 2 13 2 6 2 2 2" xfId="9325"/>
    <cellStyle name="Normal 2 13 2 6 2 3" xfId="11000"/>
    <cellStyle name="Normal 2 13 2 6 2 4" xfId="7650"/>
    <cellStyle name="Normal 2 13 2 6 3" xfId="5008"/>
    <cellStyle name="Normal 2 13 2 6 3 2" xfId="8358"/>
    <cellStyle name="Normal 2 13 2 6 4" xfId="10033"/>
    <cellStyle name="Normal 2 13 2 6 5" xfId="6683"/>
    <cellStyle name="Normal 2 13 2 7" xfId="3569"/>
    <cellStyle name="Normal 2 13 2 7 2" xfId="4536"/>
    <cellStyle name="Normal 2 13 2 7 2 2" xfId="6211"/>
    <cellStyle name="Normal 2 13 2 7 2 2 2" xfId="9561"/>
    <cellStyle name="Normal 2 13 2 7 2 3" xfId="11236"/>
    <cellStyle name="Normal 2 13 2 7 2 4" xfId="7886"/>
    <cellStyle name="Normal 2 13 2 7 3" xfId="5244"/>
    <cellStyle name="Normal 2 13 2 7 3 2" xfId="8594"/>
    <cellStyle name="Normal 2 13 2 7 4" xfId="10269"/>
    <cellStyle name="Normal 2 13 2 7 5" xfId="6919"/>
    <cellStyle name="Normal 2 13 2 8" xfId="3805"/>
    <cellStyle name="Normal 2 13 2 8 2" xfId="5480"/>
    <cellStyle name="Normal 2 13 2 8 2 2" xfId="8830"/>
    <cellStyle name="Normal 2 13 2 8 3" xfId="10505"/>
    <cellStyle name="Normal 2 13 2 8 4" xfId="7155"/>
    <cellStyle name="Normal 2 13 2 9" xfId="4064"/>
    <cellStyle name="Normal 2 13 2 9 2" xfId="5739"/>
    <cellStyle name="Normal 2 13 2 9 2 2" xfId="9089"/>
    <cellStyle name="Normal 2 13 2 9 3" xfId="10764"/>
    <cellStyle name="Normal 2 13 2 9 4" xfId="7414"/>
    <cellStyle name="Normal 2 13 3" xfId="3122"/>
    <cellStyle name="Normal 2 13 3 10" xfId="12276"/>
    <cellStyle name="Normal 2 13 3 2" xfId="3239"/>
    <cellStyle name="Normal 2 13 3 2 2" xfId="3475"/>
    <cellStyle name="Normal 2 13 3 2 2 2" xfId="4441"/>
    <cellStyle name="Normal 2 13 3 2 2 2 2" xfId="6116"/>
    <cellStyle name="Normal 2 13 3 2 2 2 2 2" xfId="9466"/>
    <cellStyle name="Normal 2 13 3 2 2 2 3" xfId="11141"/>
    <cellStyle name="Normal 2 13 3 2 2 2 4" xfId="7791"/>
    <cellStyle name="Normal 2 13 3 2 2 3" xfId="5149"/>
    <cellStyle name="Normal 2 13 3 2 2 3 2" xfId="8499"/>
    <cellStyle name="Normal 2 13 3 2 2 4" xfId="10174"/>
    <cellStyle name="Normal 2 13 3 2 2 5" xfId="6824"/>
    <cellStyle name="Normal 2 13 3 2 3" xfId="3710"/>
    <cellStyle name="Normal 2 13 3 2 3 2" xfId="4677"/>
    <cellStyle name="Normal 2 13 3 2 3 2 2" xfId="6352"/>
    <cellStyle name="Normal 2 13 3 2 3 2 2 2" xfId="9702"/>
    <cellStyle name="Normal 2 13 3 2 3 2 3" xfId="11377"/>
    <cellStyle name="Normal 2 13 3 2 3 2 4" xfId="8027"/>
    <cellStyle name="Normal 2 13 3 2 3 3" xfId="5385"/>
    <cellStyle name="Normal 2 13 3 2 3 3 2" xfId="8735"/>
    <cellStyle name="Normal 2 13 3 2 3 4" xfId="10410"/>
    <cellStyle name="Normal 2 13 3 2 3 5" xfId="7060"/>
    <cellStyle name="Normal 2 13 3 2 4" xfId="3946"/>
    <cellStyle name="Normal 2 13 3 2 4 2" xfId="5621"/>
    <cellStyle name="Normal 2 13 3 2 4 2 2" xfId="8971"/>
    <cellStyle name="Normal 2 13 3 2 4 3" xfId="10646"/>
    <cellStyle name="Normal 2 13 3 2 4 4" xfId="7296"/>
    <cellStyle name="Normal 2 13 3 2 5" xfId="4205"/>
    <cellStyle name="Normal 2 13 3 2 5 2" xfId="5880"/>
    <cellStyle name="Normal 2 13 3 2 5 2 2" xfId="9230"/>
    <cellStyle name="Normal 2 13 3 2 5 3" xfId="10905"/>
    <cellStyle name="Normal 2 13 3 2 5 4" xfId="7555"/>
    <cellStyle name="Normal 2 13 3 2 6" xfId="4913"/>
    <cellStyle name="Normal 2 13 3 2 6 2" xfId="8263"/>
    <cellStyle name="Normal 2 13 3 2 7" xfId="9938"/>
    <cellStyle name="Normal 2 13 3 2 8" xfId="6588"/>
    <cellStyle name="Normal 2 13 3 3" xfId="3357"/>
    <cellStyle name="Normal 2 13 3 3 2" xfId="4323"/>
    <cellStyle name="Normal 2 13 3 3 2 2" xfId="5998"/>
    <cellStyle name="Normal 2 13 3 3 2 2 2" xfId="9348"/>
    <cellStyle name="Normal 2 13 3 3 2 3" xfId="11023"/>
    <cellStyle name="Normal 2 13 3 3 2 4" xfId="7673"/>
    <cellStyle name="Normal 2 13 3 3 3" xfId="5031"/>
    <cellStyle name="Normal 2 13 3 3 3 2" xfId="8381"/>
    <cellStyle name="Normal 2 13 3 3 4" xfId="10056"/>
    <cellStyle name="Normal 2 13 3 3 5" xfId="6706"/>
    <cellStyle name="Normal 2 13 3 4" xfId="3592"/>
    <cellStyle name="Normal 2 13 3 4 2" xfId="4559"/>
    <cellStyle name="Normal 2 13 3 4 2 2" xfId="6234"/>
    <cellStyle name="Normal 2 13 3 4 2 2 2" xfId="9584"/>
    <cellStyle name="Normal 2 13 3 4 2 3" xfId="11259"/>
    <cellStyle name="Normal 2 13 3 4 2 4" xfId="7909"/>
    <cellStyle name="Normal 2 13 3 4 3" xfId="5267"/>
    <cellStyle name="Normal 2 13 3 4 3 2" xfId="8617"/>
    <cellStyle name="Normal 2 13 3 4 4" xfId="10292"/>
    <cellStyle name="Normal 2 13 3 4 5" xfId="6942"/>
    <cellStyle name="Normal 2 13 3 5" xfId="3828"/>
    <cellStyle name="Normal 2 13 3 5 2" xfId="5503"/>
    <cellStyle name="Normal 2 13 3 5 2 2" xfId="8853"/>
    <cellStyle name="Normal 2 13 3 5 3" xfId="10528"/>
    <cellStyle name="Normal 2 13 3 5 4" xfId="7178"/>
    <cellStyle name="Normal 2 13 3 6" xfId="4087"/>
    <cellStyle name="Normal 2 13 3 6 2" xfId="5762"/>
    <cellStyle name="Normal 2 13 3 6 2 2" xfId="9112"/>
    <cellStyle name="Normal 2 13 3 6 3" xfId="10787"/>
    <cellStyle name="Normal 2 13 3 6 4" xfId="7437"/>
    <cellStyle name="Normal 2 13 3 7" xfId="4795"/>
    <cellStyle name="Normal 2 13 3 7 2" xfId="8145"/>
    <cellStyle name="Normal 2 13 3 8" xfId="9820"/>
    <cellStyle name="Normal 2 13 3 9" xfId="6470"/>
    <cellStyle name="Normal 2 13 4" xfId="3145"/>
    <cellStyle name="Normal 2 13 4 2" xfId="3263"/>
    <cellStyle name="Normal 2 13 4 2 2" xfId="3499"/>
    <cellStyle name="Normal 2 13 4 2 2 2" xfId="4465"/>
    <cellStyle name="Normal 2 13 4 2 2 2 2" xfId="6140"/>
    <cellStyle name="Normal 2 13 4 2 2 2 2 2" xfId="9490"/>
    <cellStyle name="Normal 2 13 4 2 2 2 3" xfId="11165"/>
    <cellStyle name="Normal 2 13 4 2 2 2 4" xfId="7815"/>
    <cellStyle name="Normal 2 13 4 2 2 3" xfId="5173"/>
    <cellStyle name="Normal 2 13 4 2 2 3 2" xfId="8523"/>
    <cellStyle name="Normal 2 13 4 2 2 4" xfId="10198"/>
    <cellStyle name="Normal 2 13 4 2 2 5" xfId="6848"/>
    <cellStyle name="Normal 2 13 4 2 3" xfId="3734"/>
    <cellStyle name="Normal 2 13 4 2 3 2" xfId="4701"/>
    <cellStyle name="Normal 2 13 4 2 3 2 2" xfId="6376"/>
    <cellStyle name="Normal 2 13 4 2 3 2 2 2" xfId="9726"/>
    <cellStyle name="Normal 2 13 4 2 3 2 3" xfId="11401"/>
    <cellStyle name="Normal 2 13 4 2 3 2 4" xfId="8051"/>
    <cellStyle name="Normal 2 13 4 2 3 3" xfId="5409"/>
    <cellStyle name="Normal 2 13 4 2 3 3 2" xfId="8759"/>
    <cellStyle name="Normal 2 13 4 2 3 4" xfId="10434"/>
    <cellStyle name="Normal 2 13 4 2 3 5" xfId="7084"/>
    <cellStyle name="Normal 2 13 4 2 4" xfId="3970"/>
    <cellStyle name="Normal 2 13 4 2 4 2" xfId="5645"/>
    <cellStyle name="Normal 2 13 4 2 4 2 2" xfId="8995"/>
    <cellStyle name="Normal 2 13 4 2 4 3" xfId="10670"/>
    <cellStyle name="Normal 2 13 4 2 4 4" xfId="7320"/>
    <cellStyle name="Normal 2 13 4 2 5" xfId="4229"/>
    <cellStyle name="Normal 2 13 4 2 5 2" xfId="5904"/>
    <cellStyle name="Normal 2 13 4 2 5 2 2" xfId="9254"/>
    <cellStyle name="Normal 2 13 4 2 5 3" xfId="10929"/>
    <cellStyle name="Normal 2 13 4 2 5 4" xfId="7579"/>
    <cellStyle name="Normal 2 13 4 2 6" xfId="4937"/>
    <cellStyle name="Normal 2 13 4 2 6 2" xfId="8287"/>
    <cellStyle name="Normal 2 13 4 2 7" xfId="9962"/>
    <cellStyle name="Normal 2 13 4 2 8" xfId="6612"/>
    <cellStyle name="Normal 2 13 4 3" xfId="3381"/>
    <cellStyle name="Normal 2 13 4 3 2" xfId="4347"/>
    <cellStyle name="Normal 2 13 4 3 2 2" xfId="6022"/>
    <cellStyle name="Normal 2 13 4 3 2 2 2" xfId="9372"/>
    <cellStyle name="Normal 2 13 4 3 2 3" xfId="11047"/>
    <cellStyle name="Normal 2 13 4 3 2 4" xfId="7697"/>
    <cellStyle name="Normal 2 13 4 3 3" xfId="5055"/>
    <cellStyle name="Normal 2 13 4 3 3 2" xfId="8405"/>
    <cellStyle name="Normal 2 13 4 3 4" xfId="10080"/>
    <cellStyle name="Normal 2 13 4 3 5" xfId="6730"/>
    <cellStyle name="Normal 2 13 4 4" xfId="3616"/>
    <cellStyle name="Normal 2 13 4 4 2" xfId="4583"/>
    <cellStyle name="Normal 2 13 4 4 2 2" xfId="6258"/>
    <cellStyle name="Normal 2 13 4 4 2 2 2" xfId="9608"/>
    <cellStyle name="Normal 2 13 4 4 2 3" xfId="11283"/>
    <cellStyle name="Normal 2 13 4 4 2 4" xfId="7933"/>
    <cellStyle name="Normal 2 13 4 4 3" xfId="5291"/>
    <cellStyle name="Normal 2 13 4 4 3 2" xfId="8641"/>
    <cellStyle name="Normal 2 13 4 4 4" xfId="10316"/>
    <cellStyle name="Normal 2 13 4 4 5" xfId="6966"/>
    <cellStyle name="Normal 2 13 4 5" xfId="3852"/>
    <cellStyle name="Normal 2 13 4 5 2" xfId="5527"/>
    <cellStyle name="Normal 2 13 4 5 2 2" xfId="8877"/>
    <cellStyle name="Normal 2 13 4 5 3" xfId="10552"/>
    <cellStyle name="Normal 2 13 4 5 4" xfId="7202"/>
    <cellStyle name="Normal 2 13 4 6" xfId="4111"/>
    <cellStyle name="Normal 2 13 4 6 2" xfId="5786"/>
    <cellStyle name="Normal 2 13 4 6 2 2" xfId="9136"/>
    <cellStyle name="Normal 2 13 4 6 3" xfId="10811"/>
    <cellStyle name="Normal 2 13 4 6 4" xfId="7461"/>
    <cellStyle name="Normal 2 13 4 7" xfId="4819"/>
    <cellStyle name="Normal 2 13 4 7 2" xfId="8169"/>
    <cellStyle name="Normal 2 13 4 8" xfId="9844"/>
    <cellStyle name="Normal 2 13 4 9" xfId="6494"/>
    <cellStyle name="Normal 2 13 5" xfId="3169"/>
    <cellStyle name="Normal 2 13 5 2" xfId="3287"/>
    <cellStyle name="Normal 2 13 5 2 2" xfId="3523"/>
    <cellStyle name="Normal 2 13 5 2 2 2" xfId="4489"/>
    <cellStyle name="Normal 2 13 5 2 2 2 2" xfId="6164"/>
    <cellStyle name="Normal 2 13 5 2 2 2 2 2" xfId="9514"/>
    <cellStyle name="Normal 2 13 5 2 2 2 3" xfId="11189"/>
    <cellStyle name="Normal 2 13 5 2 2 2 4" xfId="7839"/>
    <cellStyle name="Normal 2 13 5 2 2 3" xfId="5197"/>
    <cellStyle name="Normal 2 13 5 2 2 3 2" xfId="8547"/>
    <cellStyle name="Normal 2 13 5 2 2 4" xfId="10222"/>
    <cellStyle name="Normal 2 13 5 2 2 5" xfId="6872"/>
    <cellStyle name="Normal 2 13 5 2 3" xfId="3758"/>
    <cellStyle name="Normal 2 13 5 2 3 2" xfId="4725"/>
    <cellStyle name="Normal 2 13 5 2 3 2 2" xfId="6400"/>
    <cellStyle name="Normal 2 13 5 2 3 2 2 2" xfId="9750"/>
    <cellStyle name="Normal 2 13 5 2 3 2 3" xfId="11425"/>
    <cellStyle name="Normal 2 13 5 2 3 2 4" xfId="8075"/>
    <cellStyle name="Normal 2 13 5 2 3 3" xfId="5433"/>
    <cellStyle name="Normal 2 13 5 2 3 3 2" xfId="8783"/>
    <cellStyle name="Normal 2 13 5 2 3 4" xfId="10458"/>
    <cellStyle name="Normal 2 13 5 2 3 5" xfId="7108"/>
    <cellStyle name="Normal 2 13 5 2 4" xfId="3994"/>
    <cellStyle name="Normal 2 13 5 2 4 2" xfId="5669"/>
    <cellStyle name="Normal 2 13 5 2 4 2 2" xfId="9019"/>
    <cellStyle name="Normal 2 13 5 2 4 3" xfId="10694"/>
    <cellStyle name="Normal 2 13 5 2 4 4" xfId="7344"/>
    <cellStyle name="Normal 2 13 5 2 5" xfId="4253"/>
    <cellStyle name="Normal 2 13 5 2 5 2" xfId="5928"/>
    <cellStyle name="Normal 2 13 5 2 5 2 2" xfId="9278"/>
    <cellStyle name="Normal 2 13 5 2 5 3" xfId="10953"/>
    <cellStyle name="Normal 2 13 5 2 5 4" xfId="7603"/>
    <cellStyle name="Normal 2 13 5 2 6" xfId="4961"/>
    <cellStyle name="Normal 2 13 5 2 6 2" xfId="8311"/>
    <cellStyle name="Normal 2 13 5 2 7" xfId="9986"/>
    <cellStyle name="Normal 2 13 5 2 8" xfId="6636"/>
    <cellStyle name="Normal 2 13 5 3" xfId="3405"/>
    <cellStyle name="Normal 2 13 5 3 2" xfId="4371"/>
    <cellStyle name="Normal 2 13 5 3 2 2" xfId="6046"/>
    <cellStyle name="Normal 2 13 5 3 2 2 2" xfId="9396"/>
    <cellStyle name="Normal 2 13 5 3 2 3" xfId="11071"/>
    <cellStyle name="Normal 2 13 5 3 2 4" xfId="7721"/>
    <cellStyle name="Normal 2 13 5 3 3" xfId="5079"/>
    <cellStyle name="Normal 2 13 5 3 3 2" xfId="8429"/>
    <cellStyle name="Normal 2 13 5 3 4" xfId="10104"/>
    <cellStyle name="Normal 2 13 5 3 5" xfId="6754"/>
    <cellStyle name="Normal 2 13 5 4" xfId="3640"/>
    <cellStyle name="Normal 2 13 5 4 2" xfId="4607"/>
    <cellStyle name="Normal 2 13 5 4 2 2" xfId="6282"/>
    <cellStyle name="Normal 2 13 5 4 2 2 2" xfId="9632"/>
    <cellStyle name="Normal 2 13 5 4 2 3" xfId="11307"/>
    <cellStyle name="Normal 2 13 5 4 2 4" xfId="7957"/>
    <cellStyle name="Normal 2 13 5 4 3" xfId="5315"/>
    <cellStyle name="Normal 2 13 5 4 3 2" xfId="8665"/>
    <cellStyle name="Normal 2 13 5 4 4" xfId="10340"/>
    <cellStyle name="Normal 2 13 5 4 5" xfId="6990"/>
    <cellStyle name="Normal 2 13 5 5" xfId="3876"/>
    <cellStyle name="Normal 2 13 5 5 2" xfId="5551"/>
    <cellStyle name="Normal 2 13 5 5 2 2" xfId="8901"/>
    <cellStyle name="Normal 2 13 5 5 3" xfId="10576"/>
    <cellStyle name="Normal 2 13 5 5 4" xfId="7226"/>
    <cellStyle name="Normal 2 13 5 6" xfId="4135"/>
    <cellStyle name="Normal 2 13 5 6 2" xfId="5810"/>
    <cellStyle name="Normal 2 13 5 6 2 2" xfId="9160"/>
    <cellStyle name="Normal 2 13 5 6 3" xfId="10835"/>
    <cellStyle name="Normal 2 13 5 6 4" xfId="7485"/>
    <cellStyle name="Normal 2 13 5 7" xfId="4843"/>
    <cellStyle name="Normal 2 13 5 7 2" xfId="8193"/>
    <cellStyle name="Normal 2 13 5 8" xfId="9868"/>
    <cellStyle name="Normal 2 13 5 9" xfId="6518"/>
    <cellStyle name="Normal 2 13 6" xfId="3193"/>
    <cellStyle name="Normal 2 13 6 2" xfId="3429"/>
    <cellStyle name="Normal 2 13 6 2 2" xfId="4395"/>
    <cellStyle name="Normal 2 13 6 2 2 2" xfId="6070"/>
    <cellStyle name="Normal 2 13 6 2 2 2 2" xfId="9420"/>
    <cellStyle name="Normal 2 13 6 2 2 3" xfId="11095"/>
    <cellStyle name="Normal 2 13 6 2 2 4" xfId="7745"/>
    <cellStyle name="Normal 2 13 6 2 3" xfId="5103"/>
    <cellStyle name="Normal 2 13 6 2 3 2" xfId="8453"/>
    <cellStyle name="Normal 2 13 6 2 4" xfId="10128"/>
    <cellStyle name="Normal 2 13 6 2 5" xfId="6778"/>
    <cellStyle name="Normal 2 13 6 3" xfId="3664"/>
    <cellStyle name="Normal 2 13 6 3 2" xfId="4631"/>
    <cellStyle name="Normal 2 13 6 3 2 2" xfId="6306"/>
    <cellStyle name="Normal 2 13 6 3 2 2 2" xfId="9656"/>
    <cellStyle name="Normal 2 13 6 3 2 3" xfId="11331"/>
    <cellStyle name="Normal 2 13 6 3 2 4" xfId="7981"/>
    <cellStyle name="Normal 2 13 6 3 3" xfId="5339"/>
    <cellStyle name="Normal 2 13 6 3 3 2" xfId="8689"/>
    <cellStyle name="Normal 2 13 6 3 4" xfId="10364"/>
    <cellStyle name="Normal 2 13 6 3 5" xfId="7014"/>
    <cellStyle name="Normal 2 13 6 4" xfId="3900"/>
    <cellStyle name="Normal 2 13 6 4 2" xfId="5575"/>
    <cellStyle name="Normal 2 13 6 4 2 2" xfId="8925"/>
    <cellStyle name="Normal 2 13 6 4 3" xfId="10600"/>
    <cellStyle name="Normal 2 13 6 4 4" xfId="7250"/>
    <cellStyle name="Normal 2 13 6 5" xfId="4159"/>
    <cellStyle name="Normal 2 13 6 5 2" xfId="5834"/>
    <cellStyle name="Normal 2 13 6 5 2 2" xfId="9184"/>
    <cellStyle name="Normal 2 13 6 5 3" xfId="10859"/>
    <cellStyle name="Normal 2 13 6 5 4" xfId="7509"/>
    <cellStyle name="Normal 2 13 6 6" xfId="4867"/>
    <cellStyle name="Normal 2 13 6 6 2" xfId="8217"/>
    <cellStyle name="Normal 2 13 6 7" xfId="9892"/>
    <cellStyle name="Normal 2 13 6 8" xfId="6542"/>
    <cellStyle name="Normal 2 13 7" xfId="3311"/>
    <cellStyle name="Normal 2 13 7 2" xfId="4277"/>
    <cellStyle name="Normal 2 13 7 2 2" xfId="5952"/>
    <cellStyle name="Normal 2 13 7 2 2 2" xfId="9302"/>
    <cellStyle name="Normal 2 13 7 2 3" xfId="10977"/>
    <cellStyle name="Normal 2 13 7 2 4" xfId="7627"/>
    <cellStyle name="Normal 2 13 7 3" xfId="4985"/>
    <cellStyle name="Normal 2 13 7 3 2" xfId="8335"/>
    <cellStyle name="Normal 2 13 7 4" xfId="10010"/>
    <cellStyle name="Normal 2 13 7 5" xfId="6660"/>
    <cellStyle name="Normal 2 13 8" xfId="40"/>
    <cellStyle name="Normal 2 13 8 2" xfId="4513"/>
    <cellStyle name="Normal 2 13 8 2 2" xfId="6188"/>
    <cellStyle name="Normal 2 13 8 2 2 2" xfId="9538"/>
    <cellStyle name="Normal 2 13 8 2 3" xfId="11213"/>
    <cellStyle name="Normal 2 13 8 2 4" xfId="7863"/>
    <cellStyle name="Normal 2 13 8 3" xfId="5221"/>
    <cellStyle name="Normal 2 13 8 3 2" xfId="8571"/>
    <cellStyle name="Normal 2 13 8 4" xfId="10246"/>
    <cellStyle name="Normal 2 13 8 5" xfId="6896"/>
    <cellStyle name="Normal 2 13 8 6" xfId="12280"/>
    <cellStyle name="Normal 2 13 9" xfId="3782"/>
    <cellStyle name="Normal 2 13 9 2" xfId="4041"/>
    <cellStyle name="Normal 2 13 9 2 2" xfId="5716"/>
    <cellStyle name="Normal 2 13 9 2 2 2" xfId="9066"/>
    <cellStyle name="Normal 2 13 9 2 3" xfId="10741"/>
    <cellStyle name="Normal 2 13 9 2 4" xfId="7391"/>
    <cellStyle name="Normal 2 13 9 3" xfId="5457"/>
    <cellStyle name="Normal 2 13 9 3 2" xfId="8807"/>
    <cellStyle name="Normal 2 13 9 4" xfId="10482"/>
    <cellStyle name="Normal 2 13 9 5" xfId="7132"/>
    <cellStyle name="Normal 2 14" xfId="7"/>
    <cellStyle name="Normal 2 15" xfId="2091"/>
    <cellStyle name="Normal 2 15 10" xfId="4012"/>
    <cellStyle name="Normal 2 15 10 2" xfId="5687"/>
    <cellStyle name="Normal 2 15 10 2 2" xfId="9037"/>
    <cellStyle name="Normal 2 15 10 3" xfId="10712"/>
    <cellStyle name="Normal 2 15 10 4" xfId="7362"/>
    <cellStyle name="Normal 2 15 11" xfId="4743"/>
    <cellStyle name="Normal 2 15 11 2" xfId="8093"/>
    <cellStyle name="Normal 2 15 12" xfId="9768"/>
    <cellStyle name="Normal 2 15 13" xfId="6418"/>
    <cellStyle name="Normal 2 15 14" xfId="12225"/>
    <cellStyle name="Normal 2 15 2" xfId="3094"/>
    <cellStyle name="Normal 2 15 2 2" xfId="3211"/>
    <cellStyle name="Normal 2 15 2 2 2" xfId="3447"/>
    <cellStyle name="Normal 2 15 2 2 2 2" xfId="4413"/>
    <cellStyle name="Normal 2 15 2 2 2 2 2" xfId="6088"/>
    <cellStyle name="Normal 2 15 2 2 2 2 2 2" xfId="9438"/>
    <cellStyle name="Normal 2 15 2 2 2 2 3" xfId="11113"/>
    <cellStyle name="Normal 2 15 2 2 2 2 4" xfId="7763"/>
    <cellStyle name="Normal 2 15 2 2 2 3" xfId="5121"/>
    <cellStyle name="Normal 2 15 2 2 2 3 2" xfId="8471"/>
    <cellStyle name="Normal 2 15 2 2 2 4" xfId="10146"/>
    <cellStyle name="Normal 2 15 2 2 2 5" xfId="6796"/>
    <cellStyle name="Normal 2 15 2 2 3" xfId="3682"/>
    <cellStyle name="Normal 2 15 2 2 3 2" xfId="4649"/>
    <cellStyle name="Normal 2 15 2 2 3 2 2" xfId="6324"/>
    <cellStyle name="Normal 2 15 2 2 3 2 2 2" xfId="9674"/>
    <cellStyle name="Normal 2 15 2 2 3 2 3" xfId="11349"/>
    <cellStyle name="Normal 2 15 2 2 3 2 4" xfId="7999"/>
    <cellStyle name="Normal 2 15 2 2 3 3" xfId="5357"/>
    <cellStyle name="Normal 2 15 2 2 3 3 2" xfId="8707"/>
    <cellStyle name="Normal 2 15 2 2 3 4" xfId="10382"/>
    <cellStyle name="Normal 2 15 2 2 3 5" xfId="7032"/>
    <cellStyle name="Normal 2 15 2 2 4" xfId="3918"/>
    <cellStyle name="Normal 2 15 2 2 4 2" xfId="5593"/>
    <cellStyle name="Normal 2 15 2 2 4 2 2" xfId="8943"/>
    <cellStyle name="Normal 2 15 2 2 4 3" xfId="10618"/>
    <cellStyle name="Normal 2 15 2 2 4 4" xfId="7268"/>
    <cellStyle name="Normal 2 15 2 2 5" xfId="4177"/>
    <cellStyle name="Normal 2 15 2 2 5 2" xfId="5852"/>
    <cellStyle name="Normal 2 15 2 2 5 2 2" xfId="9202"/>
    <cellStyle name="Normal 2 15 2 2 5 3" xfId="10877"/>
    <cellStyle name="Normal 2 15 2 2 5 4" xfId="7527"/>
    <cellStyle name="Normal 2 15 2 2 6" xfId="4885"/>
    <cellStyle name="Normal 2 15 2 2 6 2" xfId="8235"/>
    <cellStyle name="Normal 2 15 2 2 7" xfId="9910"/>
    <cellStyle name="Normal 2 15 2 2 8" xfId="6560"/>
    <cellStyle name="Normal 2 15 2 3" xfId="3328"/>
    <cellStyle name="Normal 2 15 2 3 2" xfId="4294"/>
    <cellStyle name="Normal 2 15 2 3 2 2" xfId="5969"/>
    <cellStyle name="Normal 2 15 2 3 2 2 2" xfId="9319"/>
    <cellStyle name="Normal 2 15 2 3 2 3" xfId="10994"/>
    <cellStyle name="Normal 2 15 2 3 2 4" xfId="7644"/>
    <cellStyle name="Normal 2 15 2 3 3" xfId="5002"/>
    <cellStyle name="Normal 2 15 2 3 3 2" xfId="8352"/>
    <cellStyle name="Normal 2 15 2 3 4" xfId="10027"/>
    <cellStyle name="Normal 2 15 2 3 5" xfId="6677"/>
    <cellStyle name="Normal 2 15 2 4" xfId="3563"/>
    <cellStyle name="Normal 2 15 2 4 2" xfId="4530"/>
    <cellStyle name="Normal 2 15 2 4 2 2" xfId="6205"/>
    <cellStyle name="Normal 2 15 2 4 2 2 2" xfId="9555"/>
    <cellStyle name="Normal 2 15 2 4 2 3" xfId="11230"/>
    <cellStyle name="Normal 2 15 2 4 2 4" xfId="7880"/>
    <cellStyle name="Normal 2 15 2 4 3" xfId="5238"/>
    <cellStyle name="Normal 2 15 2 4 3 2" xfId="8588"/>
    <cellStyle name="Normal 2 15 2 4 4" xfId="10263"/>
    <cellStyle name="Normal 2 15 2 4 5" xfId="6913"/>
    <cellStyle name="Normal 2 15 2 5" xfId="3799"/>
    <cellStyle name="Normal 2 15 2 5 2" xfId="5474"/>
    <cellStyle name="Normal 2 15 2 5 2 2" xfId="8824"/>
    <cellStyle name="Normal 2 15 2 5 3" xfId="10499"/>
    <cellStyle name="Normal 2 15 2 5 4" xfId="7149"/>
    <cellStyle name="Normal 2 15 2 6" xfId="4058"/>
    <cellStyle name="Normal 2 15 2 6 2" xfId="5733"/>
    <cellStyle name="Normal 2 15 2 6 2 2" xfId="9083"/>
    <cellStyle name="Normal 2 15 2 6 3" xfId="10758"/>
    <cellStyle name="Normal 2 15 2 6 4" xfId="7408"/>
    <cellStyle name="Normal 2 15 2 7" xfId="4766"/>
    <cellStyle name="Normal 2 15 2 7 2" xfId="8116"/>
    <cellStyle name="Normal 2 15 2 8" xfId="9791"/>
    <cellStyle name="Normal 2 15 2 9" xfId="6441"/>
    <cellStyle name="Normal 2 15 3" xfId="3116"/>
    <cellStyle name="Normal 2 15 3 2" xfId="3233"/>
    <cellStyle name="Normal 2 15 3 2 2" xfId="3469"/>
    <cellStyle name="Normal 2 15 3 2 2 2" xfId="4435"/>
    <cellStyle name="Normal 2 15 3 2 2 2 2" xfId="6110"/>
    <cellStyle name="Normal 2 15 3 2 2 2 2 2" xfId="9460"/>
    <cellStyle name="Normal 2 15 3 2 2 2 3" xfId="11135"/>
    <cellStyle name="Normal 2 15 3 2 2 2 4" xfId="7785"/>
    <cellStyle name="Normal 2 15 3 2 2 3" xfId="5143"/>
    <cellStyle name="Normal 2 15 3 2 2 3 2" xfId="8493"/>
    <cellStyle name="Normal 2 15 3 2 2 4" xfId="10168"/>
    <cellStyle name="Normal 2 15 3 2 2 5" xfId="6818"/>
    <cellStyle name="Normal 2 15 3 2 3" xfId="3704"/>
    <cellStyle name="Normal 2 15 3 2 3 2" xfId="4671"/>
    <cellStyle name="Normal 2 15 3 2 3 2 2" xfId="6346"/>
    <cellStyle name="Normal 2 15 3 2 3 2 2 2" xfId="9696"/>
    <cellStyle name="Normal 2 15 3 2 3 2 3" xfId="11371"/>
    <cellStyle name="Normal 2 15 3 2 3 2 4" xfId="8021"/>
    <cellStyle name="Normal 2 15 3 2 3 3" xfId="5379"/>
    <cellStyle name="Normal 2 15 3 2 3 3 2" xfId="8729"/>
    <cellStyle name="Normal 2 15 3 2 3 4" xfId="10404"/>
    <cellStyle name="Normal 2 15 3 2 3 5" xfId="7054"/>
    <cellStyle name="Normal 2 15 3 2 4" xfId="3940"/>
    <cellStyle name="Normal 2 15 3 2 4 2" xfId="5615"/>
    <cellStyle name="Normal 2 15 3 2 4 2 2" xfId="8965"/>
    <cellStyle name="Normal 2 15 3 2 4 3" xfId="10640"/>
    <cellStyle name="Normal 2 15 3 2 4 4" xfId="7290"/>
    <cellStyle name="Normal 2 15 3 2 5" xfId="4199"/>
    <cellStyle name="Normal 2 15 3 2 5 2" xfId="5874"/>
    <cellStyle name="Normal 2 15 3 2 5 2 2" xfId="9224"/>
    <cellStyle name="Normal 2 15 3 2 5 3" xfId="10899"/>
    <cellStyle name="Normal 2 15 3 2 5 4" xfId="7549"/>
    <cellStyle name="Normal 2 15 3 2 6" xfId="4907"/>
    <cellStyle name="Normal 2 15 3 2 6 2" xfId="8257"/>
    <cellStyle name="Normal 2 15 3 2 7" xfId="9932"/>
    <cellStyle name="Normal 2 15 3 2 8" xfId="6582"/>
    <cellStyle name="Normal 2 15 3 3" xfId="3351"/>
    <cellStyle name="Normal 2 15 3 3 2" xfId="4317"/>
    <cellStyle name="Normal 2 15 3 3 2 2" xfId="5992"/>
    <cellStyle name="Normal 2 15 3 3 2 2 2" xfId="9342"/>
    <cellStyle name="Normal 2 15 3 3 2 3" xfId="11017"/>
    <cellStyle name="Normal 2 15 3 3 2 4" xfId="7667"/>
    <cellStyle name="Normal 2 15 3 3 3" xfId="5025"/>
    <cellStyle name="Normal 2 15 3 3 3 2" xfId="8375"/>
    <cellStyle name="Normal 2 15 3 3 4" xfId="10050"/>
    <cellStyle name="Normal 2 15 3 3 5" xfId="6700"/>
    <cellStyle name="Normal 2 15 3 4" xfId="3586"/>
    <cellStyle name="Normal 2 15 3 4 2" xfId="4553"/>
    <cellStyle name="Normal 2 15 3 4 2 2" xfId="6228"/>
    <cellStyle name="Normal 2 15 3 4 2 2 2" xfId="9578"/>
    <cellStyle name="Normal 2 15 3 4 2 3" xfId="11253"/>
    <cellStyle name="Normal 2 15 3 4 2 4" xfId="7903"/>
    <cellStyle name="Normal 2 15 3 4 3" xfId="5261"/>
    <cellStyle name="Normal 2 15 3 4 3 2" xfId="8611"/>
    <cellStyle name="Normal 2 15 3 4 4" xfId="10286"/>
    <cellStyle name="Normal 2 15 3 4 5" xfId="6936"/>
    <cellStyle name="Normal 2 15 3 5" xfId="3822"/>
    <cellStyle name="Normal 2 15 3 5 2" xfId="5497"/>
    <cellStyle name="Normal 2 15 3 5 2 2" xfId="8847"/>
    <cellStyle name="Normal 2 15 3 5 3" xfId="10522"/>
    <cellStyle name="Normal 2 15 3 5 4" xfId="7172"/>
    <cellStyle name="Normal 2 15 3 6" xfId="4081"/>
    <cellStyle name="Normal 2 15 3 6 2" xfId="5756"/>
    <cellStyle name="Normal 2 15 3 6 2 2" xfId="9106"/>
    <cellStyle name="Normal 2 15 3 6 3" xfId="10781"/>
    <cellStyle name="Normal 2 15 3 6 4" xfId="7431"/>
    <cellStyle name="Normal 2 15 3 7" xfId="4789"/>
    <cellStyle name="Normal 2 15 3 7 2" xfId="8139"/>
    <cellStyle name="Normal 2 15 3 8" xfId="9814"/>
    <cellStyle name="Normal 2 15 3 9" xfId="6464"/>
    <cellStyle name="Normal 2 15 4" xfId="3139"/>
    <cellStyle name="Normal 2 15 4 2" xfId="3257"/>
    <cellStyle name="Normal 2 15 4 2 2" xfId="3493"/>
    <cellStyle name="Normal 2 15 4 2 2 2" xfId="4459"/>
    <cellStyle name="Normal 2 15 4 2 2 2 2" xfId="6134"/>
    <cellStyle name="Normal 2 15 4 2 2 2 2 2" xfId="9484"/>
    <cellStyle name="Normal 2 15 4 2 2 2 3" xfId="11159"/>
    <cellStyle name="Normal 2 15 4 2 2 2 4" xfId="7809"/>
    <cellStyle name="Normal 2 15 4 2 2 3" xfId="5167"/>
    <cellStyle name="Normal 2 15 4 2 2 3 2" xfId="8517"/>
    <cellStyle name="Normal 2 15 4 2 2 4" xfId="10192"/>
    <cellStyle name="Normal 2 15 4 2 2 5" xfId="6842"/>
    <cellStyle name="Normal 2 15 4 2 3" xfId="3728"/>
    <cellStyle name="Normal 2 15 4 2 3 2" xfId="4695"/>
    <cellStyle name="Normal 2 15 4 2 3 2 2" xfId="6370"/>
    <cellStyle name="Normal 2 15 4 2 3 2 2 2" xfId="9720"/>
    <cellStyle name="Normal 2 15 4 2 3 2 3" xfId="11395"/>
    <cellStyle name="Normal 2 15 4 2 3 2 4" xfId="8045"/>
    <cellStyle name="Normal 2 15 4 2 3 3" xfId="5403"/>
    <cellStyle name="Normal 2 15 4 2 3 3 2" xfId="8753"/>
    <cellStyle name="Normal 2 15 4 2 3 4" xfId="10428"/>
    <cellStyle name="Normal 2 15 4 2 3 5" xfId="7078"/>
    <cellStyle name="Normal 2 15 4 2 4" xfId="3964"/>
    <cellStyle name="Normal 2 15 4 2 4 2" xfId="5639"/>
    <cellStyle name="Normal 2 15 4 2 4 2 2" xfId="8989"/>
    <cellStyle name="Normal 2 15 4 2 4 3" xfId="10664"/>
    <cellStyle name="Normal 2 15 4 2 4 4" xfId="7314"/>
    <cellStyle name="Normal 2 15 4 2 5" xfId="4223"/>
    <cellStyle name="Normal 2 15 4 2 5 2" xfId="5898"/>
    <cellStyle name="Normal 2 15 4 2 5 2 2" xfId="9248"/>
    <cellStyle name="Normal 2 15 4 2 5 3" xfId="10923"/>
    <cellStyle name="Normal 2 15 4 2 5 4" xfId="7573"/>
    <cellStyle name="Normal 2 15 4 2 6" xfId="4931"/>
    <cellStyle name="Normal 2 15 4 2 6 2" xfId="8281"/>
    <cellStyle name="Normal 2 15 4 2 7" xfId="9956"/>
    <cellStyle name="Normal 2 15 4 2 8" xfId="6606"/>
    <cellStyle name="Normal 2 15 4 3" xfId="3375"/>
    <cellStyle name="Normal 2 15 4 3 2" xfId="4341"/>
    <cellStyle name="Normal 2 15 4 3 2 2" xfId="6016"/>
    <cellStyle name="Normal 2 15 4 3 2 2 2" xfId="9366"/>
    <cellStyle name="Normal 2 15 4 3 2 3" xfId="11041"/>
    <cellStyle name="Normal 2 15 4 3 2 4" xfId="7691"/>
    <cellStyle name="Normal 2 15 4 3 3" xfId="5049"/>
    <cellStyle name="Normal 2 15 4 3 3 2" xfId="8399"/>
    <cellStyle name="Normal 2 15 4 3 4" xfId="10074"/>
    <cellStyle name="Normal 2 15 4 3 5" xfId="6724"/>
    <cellStyle name="Normal 2 15 4 4" xfId="3610"/>
    <cellStyle name="Normal 2 15 4 4 2" xfId="4577"/>
    <cellStyle name="Normal 2 15 4 4 2 2" xfId="6252"/>
    <cellStyle name="Normal 2 15 4 4 2 2 2" xfId="9602"/>
    <cellStyle name="Normal 2 15 4 4 2 3" xfId="11277"/>
    <cellStyle name="Normal 2 15 4 4 2 4" xfId="7927"/>
    <cellStyle name="Normal 2 15 4 4 3" xfId="5285"/>
    <cellStyle name="Normal 2 15 4 4 3 2" xfId="8635"/>
    <cellStyle name="Normal 2 15 4 4 4" xfId="10310"/>
    <cellStyle name="Normal 2 15 4 4 5" xfId="6960"/>
    <cellStyle name="Normal 2 15 4 5" xfId="3846"/>
    <cellStyle name="Normal 2 15 4 5 2" xfId="5521"/>
    <cellStyle name="Normal 2 15 4 5 2 2" xfId="8871"/>
    <cellStyle name="Normal 2 15 4 5 3" xfId="10546"/>
    <cellStyle name="Normal 2 15 4 5 4" xfId="7196"/>
    <cellStyle name="Normal 2 15 4 6" xfId="4105"/>
    <cellStyle name="Normal 2 15 4 6 2" xfId="5780"/>
    <cellStyle name="Normal 2 15 4 6 2 2" xfId="9130"/>
    <cellStyle name="Normal 2 15 4 6 3" xfId="10805"/>
    <cellStyle name="Normal 2 15 4 6 4" xfId="7455"/>
    <cellStyle name="Normal 2 15 4 7" xfId="4813"/>
    <cellStyle name="Normal 2 15 4 7 2" xfId="8163"/>
    <cellStyle name="Normal 2 15 4 8" xfId="9838"/>
    <cellStyle name="Normal 2 15 4 9" xfId="6488"/>
    <cellStyle name="Normal 2 15 5" xfId="3163"/>
    <cellStyle name="Normal 2 15 5 2" xfId="3281"/>
    <cellStyle name="Normal 2 15 5 2 2" xfId="3517"/>
    <cellStyle name="Normal 2 15 5 2 2 2" xfId="4483"/>
    <cellStyle name="Normal 2 15 5 2 2 2 2" xfId="6158"/>
    <cellStyle name="Normal 2 15 5 2 2 2 2 2" xfId="9508"/>
    <cellStyle name="Normal 2 15 5 2 2 2 3" xfId="11183"/>
    <cellStyle name="Normal 2 15 5 2 2 2 4" xfId="7833"/>
    <cellStyle name="Normal 2 15 5 2 2 3" xfId="5191"/>
    <cellStyle name="Normal 2 15 5 2 2 3 2" xfId="8541"/>
    <cellStyle name="Normal 2 15 5 2 2 4" xfId="10216"/>
    <cellStyle name="Normal 2 15 5 2 2 5" xfId="6866"/>
    <cellStyle name="Normal 2 15 5 2 3" xfId="3752"/>
    <cellStyle name="Normal 2 15 5 2 3 2" xfId="4719"/>
    <cellStyle name="Normal 2 15 5 2 3 2 2" xfId="6394"/>
    <cellStyle name="Normal 2 15 5 2 3 2 2 2" xfId="9744"/>
    <cellStyle name="Normal 2 15 5 2 3 2 3" xfId="11419"/>
    <cellStyle name="Normal 2 15 5 2 3 2 4" xfId="8069"/>
    <cellStyle name="Normal 2 15 5 2 3 3" xfId="5427"/>
    <cellStyle name="Normal 2 15 5 2 3 3 2" xfId="8777"/>
    <cellStyle name="Normal 2 15 5 2 3 4" xfId="10452"/>
    <cellStyle name="Normal 2 15 5 2 3 5" xfId="7102"/>
    <cellStyle name="Normal 2 15 5 2 4" xfId="3988"/>
    <cellStyle name="Normal 2 15 5 2 4 2" xfId="5663"/>
    <cellStyle name="Normal 2 15 5 2 4 2 2" xfId="9013"/>
    <cellStyle name="Normal 2 15 5 2 4 3" xfId="10688"/>
    <cellStyle name="Normal 2 15 5 2 4 4" xfId="7338"/>
    <cellStyle name="Normal 2 15 5 2 5" xfId="4247"/>
    <cellStyle name="Normal 2 15 5 2 5 2" xfId="5922"/>
    <cellStyle name="Normal 2 15 5 2 5 2 2" xfId="9272"/>
    <cellStyle name="Normal 2 15 5 2 5 3" xfId="10947"/>
    <cellStyle name="Normal 2 15 5 2 5 4" xfId="7597"/>
    <cellStyle name="Normal 2 15 5 2 6" xfId="4955"/>
    <cellStyle name="Normal 2 15 5 2 6 2" xfId="8305"/>
    <cellStyle name="Normal 2 15 5 2 7" xfId="9980"/>
    <cellStyle name="Normal 2 15 5 2 8" xfId="6630"/>
    <cellStyle name="Normal 2 15 5 3" xfId="3399"/>
    <cellStyle name="Normal 2 15 5 3 2" xfId="4365"/>
    <cellStyle name="Normal 2 15 5 3 2 2" xfId="6040"/>
    <cellStyle name="Normal 2 15 5 3 2 2 2" xfId="9390"/>
    <cellStyle name="Normal 2 15 5 3 2 3" xfId="11065"/>
    <cellStyle name="Normal 2 15 5 3 2 4" xfId="7715"/>
    <cellStyle name="Normal 2 15 5 3 3" xfId="5073"/>
    <cellStyle name="Normal 2 15 5 3 3 2" xfId="8423"/>
    <cellStyle name="Normal 2 15 5 3 4" xfId="10098"/>
    <cellStyle name="Normal 2 15 5 3 5" xfId="6748"/>
    <cellStyle name="Normal 2 15 5 4" xfId="3634"/>
    <cellStyle name="Normal 2 15 5 4 2" xfId="4601"/>
    <cellStyle name="Normal 2 15 5 4 2 2" xfId="6276"/>
    <cellStyle name="Normal 2 15 5 4 2 2 2" xfId="9626"/>
    <cellStyle name="Normal 2 15 5 4 2 3" xfId="11301"/>
    <cellStyle name="Normal 2 15 5 4 2 4" xfId="7951"/>
    <cellStyle name="Normal 2 15 5 4 3" xfId="5309"/>
    <cellStyle name="Normal 2 15 5 4 3 2" xfId="8659"/>
    <cellStyle name="Normal 2 15 5 4 4" xfId="10334"/>
    <cellStyle name="Normal 2 15 5 4 5" xfId="6984"/>
    <cellStyle name="Normal 2 15 5 5" xfId="3870"/>
    <cellStyle name="Normal 2 15 5 5 2" xfId="5545"/>
    <cellStyle name="Normal 2 15 5 5 2 2" xfId="8895"/>
    <cellStyle name="Normal 2 15 5 5 3" xfId="10570"/>
    <cellStyle name="Normal 2 15 5 5 4" xfId="7220"/>
    <cellStyle name="Normal 2 15 5 6" xfId="4129"/>
    <cellStyle name="Normal 2 15 5 6 2" xfId="5804"/>
    <cellStyle name="Normal 2 15 5 6 2 2" xfId="9154"/>
    <cellStyle name="Normal 2 15 5 6 3" xfId="10829"/>
    <cellStyle name="Normal 2 15 5 6 4" xfId="7479"/>
    <cellStyle name="Normal 2 15 5 7" xfId="4837"/>
    <cellStyle name="Normal 2 15 5 7 2" xfId="8187"/>
    <cellStyle name="Normal 2 15 5 8" xfId="9862"/>
    <cellStyle name="Normal 2 15 5 9" xfId="6512"/>
    <cellStyle name="Normal 2 15 6" xfId="3187"/>
    <cellStyle name="Normal 2 15 6 2" xfId="3423"/>
    <cellStyle name="Normal 2 15 6 2 2" xfId="4389"/>
    <cellStyle name="Normal 2 15 6 2 2 2" xfId="6064"/>
    <cellStyle name="Normal 2 15 6 2 2 2 2" xfId="9414"/>
    <cellStyle name="Normal 2 15 6 2 2 3" xfId="11089"/>
    <cellStyle name="Normal 2 15 6 2 2 4" xfId="7739"/>
    <cellStyle name="Normal 2 15 6 2 3" xfId="5097"/>
    <cellStyle name="Normal 2 15 6 2 3 2" xfId="8447"/>
    <cellStyle name="Normal 2 15 6 2 4" xfId="10122"/>
    <cellStyle name="Normal 2 15 6 2 5" xfId="6772"/>
    <cellStyle name="Normal 2 15 6 3" xfId="3658"/>
    <cellStyle name="Normal 2 15 6 3 2" xfId="4625"/>
    <cellStyle name="Normal 2 15 6 3 2 2" xfId="6300"/>
    <cellStyle name="Normal 2 15 6 3 2 2 2" xfId="9650"/>
    <cellStyle name="Normal 2 15 6 3 2 3" xfId="11325"/>
    <cellStyle name="Normal 2 15 6 3 2 4" xfId="7975"/>
    <cellStyle name="Normal 2 15 6 3 3" xfId="5333"/>
    <cellStyle name="Normal 2 15 6 3 3 2" xfId="8683"/>
    <cellStyle name="Normal 2 15 6 3 4" xfId="10358"/>
    <cellStyle name="Normal 2 15 6 3 5" xfId="7008"/>
    <cellStyle name="Normal 2 15 6 4" xfId="3894"/>
    <cellStyle name="Normal 2 15 6 4 2" xfId="5569"/>
    <cellStyle name="Normal 2 15 6 4 2 2" xfId="8919"/>
    <cellStyle name="Normal 2 15 6 4 3" xfId="10594"/>
    <cellStyle name="Normal 2 15 6 4 4" xfId="7244"/>
    <cellStyle name="Normal 2 15 6 5" xfId="4153"/>
    <cellStyle name="Normal 2 15 6 5 2" xfId="5828"/>
    <cellStyle name="Normal 2 15 6 5 2 2" xfId="9178"/>
    <cellStyle name="Normal 2 15 6 5 3" xfId="10853"/>
    <cellStyle name="Normal 2 15 6 5 4" xfId="7503"/>
    <cellStyle name="Normal 2 15 6 6" xfId="4861"/>
    <cellStyle name="Normal 2 15 6 6 2" xfId="8211"/>
    <cellStyle name="Normal 2 15 6 7" xfId="9886"/>
    <cellStyle name="Normal 2 15 6 8" xfId="6536"/>
    <cellStyle name="Normal 2 15 7" xfId="3305"/>
    <cellStyle name="Normal 2 15 7 2" xfId="4271"/>
    <cellStyle name="Normal 2 15 7 2 2" xfId="5946"/>
    <cellStyle name="Normal 2 15 7 2 2 2" xfId="9296"/>
    <cellStyle name="Normal 2 15 7 2 3" xfId="10971"/>
    <cellStyle name="Normal 2 15 7 2 4" xfId="7621"/>
    <cellStyle name="Normal 2 15 7 3" xfId="4979"/>
    <cellStyle name="Normal 2 15 7 3 2" xfId="8329"/>
    <cellStyle name="Normal 2 15 7 4" xfId="10004"/>
    <cellStyle name="Normal 2 15 7 5" xfId="6654"/>
    <cellStyle name="Normal 2 15 8" xfId="3541"/>
    <cellStyle name="Normal 2 15 8 2" xfId="4507"/>
    <cellStyle name="Normal 2 15 8 2 2" xfId="6182"/>
    <cellStyle name="Normal 2 15 8 2 2 2" xfId="9532"/>
    <cellStyle name="Normal 2 15 8 2 3" xfId="11207"/>
    <cellStyle name="Normal 2 15 8 2 4" xfId="7857"/>
    <cellStyle name="Normal 2 15 8 3" xfId="5215"/>
    <cellStyle name="Normal 2 15 8 3 2" xfId="8565"/>
    <cellStyle name="Normal 2 15 8 4" xfId="10240"/>
    <cellStyle name="Normal 2 15 8 5" xfId="6890"/>
    <cellStyle name="Normal 2 15 9" xfId="3776"/>
    <cellStyle name="Normal 2 15 9 2" xfId="4035"/>
    <cellStyle name="Normal 2 15 9 2 2" xfId="5710"/>
    <cellStyle name="Normal 2 15 9 2 2 2" xfId="9060"/>
    <cellStyle name="Normal 2 15 9 2 3" xfId="10735"/>
    <cellStyle name="Normal 2 15 9 2 4" xfId="7385"/>
    <cellStyle name="Normal 2 15 9 3" xfId="5451"/>
    <cellStyle name="Normal 2 15 9 3 2" xfId="8801"/>
    <cellStyle name="Normal 2 15 9 4" xfId="10476"/>
    <cellStyle name="Normal 2 15 9 5" xfId="7126"/>
    <cellStyle name="Normal 2 16" xfId="2636"/>
    <cellStyle name="Normal 2 16 10" xfId="4013"/>
    <cellStyle name="Normal 2 16 10 2" xfId="5688"/>
    <cellStyle name="Normal 2 16 10 2 2" xfId="9038"/>
    <cellStyle name="Normal 2 16 10 3" xfId="10713"/>
    <cellStyle name="Normal 2 16 10 4" xfId="7363"/>
    <cellStyle name="Normal 2 16 11" xfId="4744"/>
    <cellStyle name="Normal 2 16 11 2" xfId="8094"/>
    <cellStyle name="Normal 2 16 12" xfId="9769"/>
    <cellStyle name="Normal 2 16 13" xfId="6419"/>
    <cellStyle name="Normal 2 16 14" xfId="2861"/>
    <cellStyle name="Normal 2 16 2" xfId="3095"/>
    <cellStyle name="Normal 2 16 2 2" xfId="3212"/>
    <cellStyle name="Normal 2 16 2 2 2" xfId="3448"/>
    <cellStyle name="Normal 2 16 2 2 2 2" xfId="4414"/>
    <cellStyle name="Normal 2 16 2 2 2 2 2" xfId="6089"/>
    <cellStyle name="Normal 2 16 2 2 2 2 2 2" xfId="9439"/>
    <cellStyle name="Normal 2 16 2 2 2 2 3" xfId="11114"/>
    <cellStyle name="Normal 2 16 2 2 2 2 4" xfId="7764"/>
    <cellStyle name="Normal 2 16 2 2 2 3" xfId="5122"/>
    <cellStyle name="Normal 2 16 2 2 2 3 2" xfId="8472"/>
    <cellStyle name="Normal 2 16 2 2 2 4" xfId="10147"/>
    <cellStyle name="Normal 2 16 2 2 2 5" xfId="6797"/>
    <cellStyle name="Normal 2 16 2 2 3" xfId="3683"/>
    <cellStyle name="Normal 2 16 2 2 3 2" xfId="4650"/>
    <cellStyle name="Normal 2 16 2 2 3 2 2" xfId="6325"/>
    <cellStyle name="Normal 2 16 2 2 3 2 2 2" xfId="9675"/>
    <cellStyle name="Normal 2 16 2 2 3 2 3" xfId="11350"/>
    <cellStyle name="Normal 2 16 2 2 3 2 4" xfId="8000"/>
    <cellStyle name="Normal 2 16 2 2 3 3" xfId="5358"/>
    <cellStyle name="Normal 2 16 2 2 3 3 2" xfId="8708"/>
    <cellStyle name="Normal 2 16 2 2 3 4" xfId="10383"/>
    <cellStyle name="Normal 2 16 2 2 3 5" xfId="7033"/>
    <cellStyle name="Normal 2 16 2 2 4" xfId="3919"/>
    <cellStyle name="Normal 2 16 2 2 4 2" xfId="5594"/>
    <cellStyle name="Normal 2 16 2 2 4 2 2" xfId="8944"/>
    <cellStyle name="Normal 2 16 2 2 4 3" xfId="10619"/>
    <cellStyle name="Normal 2 16 2 2 4 4" xfId="7269"/>
    <cellStyle name="Normal 2 16 2 2 5" xfId="4178"/>
    <cellStyle name="Normal 2 16 2 2 5 2" xfId="5853"/>
    <cellStyle name="Normal 2 16 2 2 5 2 2" xfId="9203"/>
    <cellStyle name="Normal 2 16 2 2 5 3" xfId="10878"/>
    <cellStyle name="Normal 2 16 2 2 5 4" xfId="7528"/>
    <cellStyle name="Normal 2 16 2 2 6" xfId="4886"/>
    <cellStyle name="Normal 2 16 2 2 6 2" xfId="8236"/>
    <cellStyle name="Normal 2 16 2 2 7" xfId="9911"/>
    <cellStyle name="Normal 2 16 2 2 8" xfId="6561"/>
    <cellStyle name="Normal 2 16 2 3" xfId="3329"/>
    <cellStyle name="Normal 2 16 2 3 2" xfId="4295"/>
    <cellStyle name="Normal 2 16 2 3 2 2" xfId="5970"/>
    <cellStyle name="Normal 2 16 2 3 2 2 2" xfId="9320"/>
    <cellStyle name="Normal 2 16 2 3 2 3" xfId="10995"/>
    <cellStyle name="Normal 2 16 2 3 2 4" xfId="7645"/>
    <cellStyle name="Normal 2 16 2 3 3" xfId="5003"/>
    <cellStyle name="Normal 2 16 2 3 3 2" xfId="8353"/>
    <cellStyle name="Normal 2 16 2 3 4" xfId="10028"/>
    <cellStyle name="Normal 2 16 2 3 5" xfId="6678"/>
    <cellStyle name="Normal 2 16 2 4" xfId="3564"/>
    <cellStyle name="Normal 2 16 2 4 2" xfId="4531"/>
    <cellStyle name="Normal 2 16 2 4 2 2" xfId="6206"/>
    <cellStyle name="Normal 2 16 2 4 2 2 2" xfId="9556"/>
    <cellStyle name="Normal 2 16 2 4 2 3" xfId="11231"/>
    <cellStyle name="Normal 2 16 2 4 2 4" xfId="7881"/>
    <cellStyle name="Normal 2 16 2 4 3" xfId="5239"/>
    <cellStyle name="Normal 2 16 2 4 3 2" xfId="8589"/>
    <cellStyle name="Normal 2 16 2 4 4" xfId="10264"/>
    <cellStyle name="Normal 2 16 2 4 5" xfId="6914"/>
    <cellStyle name="Normal 2 16 2 5" xfId="3800"/>
    <cellStyle name="Normal 2 16 2 5 2" xfId="5475"/>
    <cellStyle name="Normal 2 16 2 5 2 2" xfId="8825"/>
    <cellStyle name="Normal 2 16 2 5 3" xfId="10500"/>
    <cellStyle name="Normal 2 16 2 5 4" xfId="7150"/>
    <cellStyle name="Normal 2 16 2 6" xfId="4059"/>
    <cellStyle name="Normal 2 16 2 6 2" xfId="5734"/>
    <cellStyle name="Normal 2 16 2 6 2 2" xfId="9084"/>
    <cellStyle name="Normal 2 16 2 6 3" xfId="10759"/>
    <cellStyle name="Normal 2 16 2 6 4" xfId="7409"/>
    <cellStyle name="Normal 2 16 2 7" xfId="4767"/>
    <cellStyle name="Normal 2 16 2 7 2" xfId="8117"/>
    <cellStyle name="Normal 2 16 2 8" xfId="9792"/>
    <cellStyle name="Normal 2 16 2 9" xfId="6442"/>
    <cellStyle name="Normal 2 16 3" xfId="3117"/>
    <cellStyle name="Normal 2 16 3 2" xfId="3234"/>
    <cellStyle name="Normal 2 16 3 2 2" xfId="3470"/>
    <cellStyle name="Normal 2 16 3 2 2 2" xfId="4436"/>
    <cellStyle name="Normal 2 16 3 2 2 2 2" xfId="6111"/>
    <cellStyle name="Normal 2 16 3 2 2 2 2 2" xfId="9461"/>
    <cellStyle name="Normal 2 16 3 2 2 2 3" xfId="11136"/>
    <cellStyle name="Normal 2 16 3 2 2 2 4" xfId="7786"/>
    <cellStyle name="Normal 2 16 3 2 2 3" xfId="5144"/>
    <cellStyle name="Normal 2 16 3 2 2 3 2" xfId="8494"/>
    <cellStyle name="Normal 2 16 3 2 2 4" xfId="10169"/>
    <cellStyle name="Normal 2 16 3 2 2 5" xfId="6819"/>
    <cellStyle name="Normal 2 16 3 2 3" xfId="3705"/>
    <cellStyle name="Normal 2 16 3 2 3 2" xfId="4672"/>
    <cellStyle name="Normal 2 16 3 2 3 2 2" xfId="6347"/>
    <cellStyle name="Normal 2 16 3 2 3 2 2 2" xfId="9697"/>
    <cellStyle name="Normal 2 16 3 2 3 2 3" xfId="11372"/>
    <cellStyle name="Normal 2 16 3 2 3 2 4" xfId="8022"/>
    <cellStyle name="Normal 2 16 3 2 3 3" xfId="5380"/>
    <cellStyle name="Normal 2 16 3 2 3 3 2" xfId="8730"/>
    <cellStyle name="Normal 2 16 3 2 3 4" xfId="10405"/>
    <cellStyle name="Normal 2 16 3 2 3 5" xfId="7055"/>
    <cellStyle name="Normal 2 16 3 2 4" xfId="3941"/>
    <cellStyle name="Normal 2 16 3 2 4 2" xfId="5616"/>
    <cellStyle name="Normal 2 16 3 2 4 2 2" xfId="8966"/>
    <cellStyle name="Normal 2 16 3 2 4 3" xfId="10641"/>
    <cellStyle name="Normal 2 16 3 2 4 4" xfId="7291"/>
    <cellStyle name="Normal 2 16 3 2 5" xfId="4200"/>
    <cellStyle name="Normal 2 16 3 2 5 2" xfId="5875"/>
    <cellStyle name="Normal 2 16 3 2 5 2 2" xfId="9225"/>
    <cellStyle name="Normal 2 16 3 2 5 3" xfId="10900"/>
    <cellStyle name="Normal 2 16 3 2 5 4" xfId="7550"/>
    <cellStyle name="Normal 2 16 3 2 6" xfId="4908"/>
    <cellStyle name="Normal 2 16 3 2 6 2" xfId="8258"/>
    <cellStyle name="Normal 2 16 3 2 7" xfId="9933"/>
    <cellStyle name="Normal 2 16 3 2 8" xfId="6583"/>
    <cellStyle name="Normal 2 16 3 3" xfId="3352"/>
    <cellStyle name="Normal 2 16 3 3 2" xfId="4318"/>
    <cellStyle name="Normal 2 16 3 3 2 2" xfId="5993"/>
    <cellStyle name="Normal 2 16 3 3 2 2 2" xfId="9343"/>
    <cellStyle name="Normal 2 16 3 3 2 3" xfId="11018"/>
    <cellStyle name="Normal 2 16 3 3 2 4" xfId="7668"/>
    <cellStyle name="Normal 2 16 3 3 3" xfId="5026"/>
    <cellStyle name="Normal 2 16 3 3 3 2" xfId="8376"/>
    <cellStyle name="Normal 2 16 3 3 4" xfId="10051"/>
    <cellStyle name="Normal 2 16 3 3 5" xfId="6701"/>
    <cellStyle name="Normal 2 16 3 4" xfId="3587"/>
    <cellStyle name="Normal 2 16 3 4 2" xfId="4554"/>
    <cellStyle name="Normal 2 16 3 4 2 2" xfId="6229"/>
    <cellStyle name="Normal 2 16 3 4 2 2 2" xfId="9579"/>
    <cellStyle name="Normal 2 16 3 4 2 3" xfId="11254"/>
    <cellStyle name="Normal 2 16 3 4 2 4" xfId="7904"/>
    <cellStyle name="Normal 2 16 3 4 3" xfId="5262"/>
    <cellStyle name="Normal 2 16 3 4 3 2" xfId="8612"/>
    <cellStyle name="Normal 2 16 3 4 4" xfId="10287"/>
    <cellStyle name="Normal 2 16 3 4 5" xfId="6937"/>
    <cellStyle name="Normal 2 16 3 5" xfId="3823"/>
    <cellStyle name="Normal 2 16 3 5 2" xfId="5498"/>
    <cellStyle name="Normal 2 16 3 5 2 2" xfId="8848"/>
    <cellStyle name="Normal 2 16 3 5 3" xfId="10523"/>
    <cellStyle name="Normal 2 16 3 5 4" xfId="7173"/>
    <cellStyle name="Normal 2 16 3 6" xfId="4082"/>
    <cellStyle name="Normal 2 16 3 6 2" xfId="5757"/>
    <cellStyle name="Normal 2 16 3 6 2 2" xfId="9107"/>
    <cellStyle name="Normal 2 16 3 6 3" xfId="10782"/>
    <cellStyle name="Normal 2 16 3 6 4" xfId="7432"/>
    <cellStyle name="Normal 2 16 3 7" xfId="4790"/>
    <cellStyle name="Normal 2 16 3 7 2" xfId="8140"/>
    <cellStyle name="Normal 2 16 3 8" xfId="9815"/>
    <cellStyle name="Normal 2 16 3 9" xfId="6465"/>
    <cellStyle name="Normal 2 16 4" xfId="3140"/>
    <cellStyle name="Normal 2 16 4 2" xfId="3258"/>
    <cellStyle name="Normal 2 16 4 2 2" xfId="3494"/>
    <cellStyle name="Normal 2 16 4 2 2 2" xfId="4460"/>
    <cellStyle name="Normal 2 16 4 2 2 2 2" xfId="6135"/>
    <cellStyle name="Normal 2 16 4 2 2 2 2 2" xfId="9485"/>
    <cellStyle name="Normal 2 16 4 2 2 2 3" xfId="11160"/>
    <cellStyle name="Normal 2 16 4 2 2 2 4" xfId="7810"/>
    <cellStyle name="Normal 2 16 4 2 2 3" xfId="5168"/>
    <cellStyle name="Normal 2 16 4 2 2 3 2" xfId="8518"/>
    <cellStyle name="Normal 2 16 4 2 2 4" xfId="10193"/>
    <cellStyle name="Normal 2 16 4 2 2 5" xfId="6843"/>
    <cellStyle name="Normal 2 16 4 2 3" xfId="3729"/>
    <cellStyle name="Normal 2 16 4 2 3 2" xfId="4696"/>
    <cellStyle name="Normal 2 16 4 2 3 2 2" xfId="6371"/>
    <cellStyle name="Normal 2 16 4 2 3 2 2 2" xfId="9721"/>
    <cellStyle name="Normal 2 16 4 2 3 2 3" xfId="11396"/>
    <cellStyle name="Normal 2 16 4 2 3 2 4" xfId="8046"/>
    <cellStyle name="Normal 2 16 4 2 3 3" xfId="5404"/>
    <cellStyle name="Normal 2 16 4 2 3 3 2" xfId="8754"/>
    <cellStyle name="Normal 2 16 4 2 3 4" xfId="10429"/>
    <cellStyle name="Normal 2 16 4 2 3 5" xfId="7079"/>
    <cellStyle name="Normal 2 16 4 2 4" xfId="3965"/>
    <cellStyle name="Normal 2 16 4 2 4 2" xfId="5640"/>
    <cellStyle name="Normal 2 16 4 2 4 2 2" xfId="8990"/>
    <cellStyle name="Normal 2 16 4 2 4 3" xfId="10665"/>
    <cellStyle name="Normal 2 16 4 2 4 4" xfId="7315"/>
    <cellStyle name="Normal 2 16 4 2 5" xfId="4224"/>
    <cellStyle name="Normal 2 16 4 2 5 2" xfId="5899"/>
    <cellStyle name="Normal 2 16 4 2 5 2 2" xfId="9249"/>
    <cellStyle name="Normal 2 16 4 2 5 3" xfId="10924"/>
    <cellStyle name="Normal 2 16 4 2 5 4" xfId="7574"/>
    <cellStyle name="Normal 2 16 4 2 6" xfId="4932"/>
    <cellStyle name="Normal 2 16 4 2 6 2" xfId="8282"/>
    <cellStyle name="Normal 2 16 4 2 7" xfId="9957"/>
    <cellStyle name="Normal 2 16 4 2 8" xfId="6607"/>
    <cellStyle name="Normal 2 16 4 3" xfId="3376"/>
    <cellStyle name="Normal 2 16 4 3 2" xfId="4342"/>
    <cellStyle name="Normal 2 16 4 3 2 2" xfId="6017"/>
    <cellStyle name="Normal 2 16 4 3 2 2 2" xfId="9367"/>
    <cellStyle name="Normal 2 16 4 3 2 3" xfId="11042"/>
    <cellStyle name="Normal 2 16 4 3 2 4" xfId="7692"/>
    <cellStyle name="Normal 2 16 4 3 3" xfId="5050"/>
    <cellStyle name="Normal 2 16 4 3 3 2" xfId="8400"/>
    <cellStyle name="Normal 2 16 4 3 4" xfId="10075"/>
    <cellStyle name="Normal 2 16 4 3 5" xfId="6725"/>
    <cellStyle name="Normal 2 16 4 4" xfId="3611"/>
    <cellStyle name="Normal 2 16 4 4 2" xfId="4578"/>
    <cellStyle name="Normal 2 16 4 4 2 2" xfId="6253"/>
    <cellStyle name="Normal 2 16 4 4 2 2 2" xfId="9603"/>
    <cellStyle name="Normal 2 16 4 4 2 3" xfId="11278"/>
    <cellStyle name="Normal 2 16 4 4 2 4" xfId="7928"/>
    <cellStyle name="Normal 2 16 4 4 3" xfId="5286"/>
    <cellStyle name="Normal 2 16 4 4 3 2" xfId="8636"/>
    <cellStyle name="Normal 2 16 4 4 4" xfId="10311"/>
    <cellStyle name="Normal 2 16 4 4 5" xfId="6961"/>
    <cellStyle name="Normal 2 16 4 5" xfId="3847"/>
    <cellStyle name="Normal 2 16 4 5 2" xfId="5522"/>
    <cellStyle name="Normal 2 16 4 5 2 2" xfId="8872"/>
    <cellStyle name="Normal 2 16 4 5 3" xfId="10547"/>
    <cellStyle name="Normal 2 16 4 5 4" xfId="7197"/>
    <cellStyle name="Normal 2 16 4 6" xfId="4106"/>
    <cellStyle name="Normal 2 16 4 6 2" xfId="5781"/>
    <cellStyle name="Normal 2 16 4 6 2 2" xfId="9131"/>
    <cellStyle name="Normal 2 16 4 6 3" xfId="10806"/>
    <cellStyle name="Normal 2 16 4 6 4" xfId="7456"/>
    <cellStyle name="Normal 2 16 4 7" xfId="4814"/>
    <cellStyle name="Normal 2 16 4 7 2" xfId="8164"/>
    <cellStyle name="Normal 2 16 4 8" xfId="9839"/>
    <cellStyle name="Normal 2 16 4 9" xfId="6489"/>
    <cellStyle name="Normal 2 16 5" xfId="3164"/>
    <cellStyle name="Normal 2 16 5 2" xfId="3282"/>
    <cellStyle name="Normal 2 16 5 2 2" xfId="3518"/>
    <cellStyle name="Normal 2 16 5 2 2 2" xfId="4484"/>
    <cellStyle name="Normal 2 16 5 2 2 2 2" xfId="6159"/>
    <cellStyle name="Normal 2 16 5 2 2 2 2 2" xfId="9509"/>
    <cellStyle name="Normal 2 16 5 2 2 2 3" xfId="11184"/>
    <cellStyle name="Normal 2 16 5 2 2 2 4" xfId="7834"/>
    <cellStyle name="Normal 2 16 5 2 2 3" xfId="5192"/>
    <cellStyle name="Normal 2 16 5 2 2 3 2" xfId="8542"/>
    <cellStyle name="Normal 2 16 5 2 2 4" xfId="10217"/>
    <cellStyle name="Normal 2 16 5 2 2 5" xfId="6867"/>
    <cellStyle name="Normal 2 16 5 2 3" xfId="3753"/>
    <cellStyle name="Normal 2 16 5 2 3 2" xfId="4720"/>
    <cellStyle name="Normal 2 16 5 2 3 2 2" xfId="6395"/>
    <cellStyle name="Normal 2 16 5 2 3 2 2 2" xfId="9745"/>
    <cellStyle name="Normal 2 16 5 2 3 2 3" xfId="11420"/>
    <cellStyle name="Normal 2 16 5 2 3 2 4" xfId="8070"/>
    <cellStyle name="Normal 2 16 5 2 3 3" xfId="5428"/>
    <cellStyle name="Normal 2 16 5 2 3 3 2" xfId="8778"/>
    <cellStyle name="Normal 2 16 5 2 3 4" xfId="10453"/>
    <cellStyle name="Normal 2 16 5 2 3 5" xfId="7103"/>
    <cellStyle name="Normal 2 16 5 2 4" xfId="3989"/>
    <cellStyle name="Normal 2 16 5 2 4 2" xfId="5664"/>
    <cellStyle name="Normal 2 16 5 2 4 2 2" xfId="9014"/>
    <cellStyle name="Normal 2 16 5 2 4 3" xfId="10689"/>
    <cellStyle name="Normal 2 16 5 2 4 4" xfId="7339"/>
    <cellStyle name="Normal 2 16 5 2 5" xfId="4248"/>
    <cellStyle name="Normal 2 16 5 2 5 2" xfId="5923"/>
    <cellStyle name="Normal 2 16 5 2 5 2 2" xfId="9273"/>
    <cellStyle name="Normal 2 16 5 2 5 3" xfId="10948"/>
    <cellStyle name="Normal 2 16 5 2 5 4" xfId="7598"/>
    <cellStyle name="Normal 2 16 5 2 6" xfId="4956"/>
    <cellStyle name="Normal 2 16 5 2 6 2" xfId="8306"/>
    <cellStyle name="Normal 2 16 5 2 7" xfId="9981"/>
    <cellStyle name="Normal 2 16 5 2 8" xfId="6631"/>
    <cellStyle name="Normal 2 16 5 3" xfId="3400"/>
    <cellStyle name="Normal 2 16 5 3 2" xfId="4366"/>
    <cellStyle name="Normal 2 16 5 3 2 2" xfId="6041"/>
    <cellStyle name="Normal 2 16 5 3 2 2 2" xfId="9391"/>
    <cellStyle name="Normal 2 16 5 3 2 3" xfId="11066"/>
    <cellStyle name="Normal 2 16 5 3 2 4" xfId="7716"/>
    <cellStyle name="Normal 2 16 5 3 3" xfId="5074"/>
    <cellStyle name="Normal 2 16 5 3 3 2" xfId="8424"/>
    <cellStyle name="Normal 2 16 5 3 4" xfId="10099"/>
    <cellStyle name="Normal 2 16 5 3 5" xfId="6749"/>
    <cellStyle name="Normal 2 16 5 4" xfId="3635"/>
    <cellStyle name="Normal 2 16 5 4 2" xfId="4602"/>
    <cellStyle name="Normal 2 16 5 4 2 2" xfId="6277"/>
    <cellStyle name="Normal 2 16 5 4 2 2 2" xfId="9627"/>
    <cellStyle name="Normal 2 16 5 4 2 3" xfId="11302"/>
    <cellStyle name="Normal 2 16 5 4 2 4" xfId="7952"/>
    <cellStyle name="Normal 2 16 5 4 3" xfId="5310"/>
    <cellStyle name="Normal 2 16 5 4 3 2" xfId="8660"/>
    <cellStyle name="Normal 2 16 5 4 4" xfId="10335"/>
    <cellStyle name="Normal 2 16 5 4 5" xfId="6985"/>
    <cellStyle name="Normal 2 16 5 5" xfId="3871"/>
    <cellStyle name="Normal 2 16 5 5 2" xfId="5546"/>
    <cellStyle name="Normal 2 16 5 5 2 2" xfId="8896"/>
    <cellStyle name="Normal 2 16 5 5 3" xfId="10571"/>
    <cellStyle name="Normal 2 16 5 5 4" xfId="7221"/>
    <cellStyle name="Normal 2 16 5 6" xfId="4130"/>
    <cellStyle name="Normal 2 16 5 6 2" xfId="5805"/>
    <cellStyle name="Normal 2 16 5 6 2 2" xfId="9155"/>
    <cellStyle name="Normal 2 16 5 6 3" xfId="10830"/>
    <cellStyle name="Normal 2 16 5 6 4" xfId="7480"/>
    <cellStyle name="Normal 2 16 5 7" xfId="4838"/>
    <cellStyle name="Normal 2 16 5 7 2" xfId="8188"/>
    <cellStyle name="Normal 2 16 5 8" xfId="9863"/>
    <cellStyle name="Normal 2 16 5 9" xfId="6513"/>
    <cellStyle name="Normal 2 16 6" xfId="3188"/>
    <cellStyle name="Normal 2 16 6 2" xfId="3424"/>
    <cellStyle name="Normal 2 16 6 2 2" xfId="4390"/>
    <cellStyle name="Normal 2 16 6 2 2 2" xfId="6065"/>
    <cellStyle name="Normal 2 16 6 2 2 2 2" xfId="9415"/>
    <cellStyle name="Normal 2 16 6 2 2 3" xfId="11090"/>
    <cellStyle name="Normal 2 16 6 2 2 4" xfId="7740"/>
    <cellStyle name="Normal 2 16 6 2 3" xfId="5098"/>
    <cellStyle name="Normal 2 16 6 2 3 2" xfId="8448"/>
    <cellStyle name="Normal 2 16 6 2 4" xfId="10123"/>
    <cellStyle name="Normal 2 16 6 2 5" xfId="6773"/>
    <cellStyle name="Normal 2 16 6 3" xfId="3659"/>
    <cellStyle name="Normal 2 16 6 3 2" xfId="4626"/>
    <cellStyle name="Normal 2 16 6 3 2 2" xfId="6301"/>
    <cellStyle name="Normal 2 16 6 3 2 2 2" xfId="9651"/>
    <cellStyle name="Normal 2 16 6 3 2 3" xfId="11326"/>
    <cellStyle name="Normal 2 16 6 3 2 4" xfId="7976"/>
    <cellStyle name="Normal 2 16 6 3 3" xfId="5334"/>
    <cellStyle name="Normal 2 16 6 3 3 2" xfId="8684"/>
    <cellStyle name="Normal 2 16 6 3 4" xfId="10359"/>
    <cellStyle name="Normal 2 16 6 3 5" xfId="7009"/>
    <cellStyle name="Normal 2 16 6 4" xfId="3895"/>
    <cellStyle name="Normal 2 16 6 4 2" xfId="5570"/>
    <cellStyle name="Normal 2 16 6 4 2 2" xfId="8920"/>
    <cellStyle name="Normal 2 16 6 4 3" xfId="10595"/>
    <cellStyle name="Normal 2 16 6 4 4" xfId="7245"/>
    <cellStyle name="Normal 2 16 6 5" xfId="4154"/>
    <cellStyle name="Normal 2 16 6 5 2" xfId="5829"/>
    <cellStyle name="Normal 2 16 6 5 2 2" xfId="9179"/>
    <cellStyle name="Normal 2 16 6 5 3" xfId="10854"/>
    <cellStyle name="Normal 2 16 6 5 4" xfId="7504"/>
    <cellStyle name="Normal 2 16 6 6" xfId="4862"/>
    <cellStyle name="Normal 2 16 6 6 2" xfId="8212"/>
    <cellStyle name="Normal 2 16 6 7" xfId="9887"/>
    <cellStyle name="Normal 2 16 6 8" xfId="6537"/>
    <cellStyle name="Normal 2 16 7" xfId="3306"/>
    <cellStyle name="Normal 2 16 7 2" xfId="4272"/>
    <cellStyle name="Normal 2 16 7 2 2" xfId="5947"/>
    <cellStyle name="Normal 2 16 7 2 2 2" xfId="9297"/>
    <cellStyle name="Normal 2 16 7 2 3" xfId="10972"/>
    <cellStyle name="Normal 2 16 7 2 4" xfId="7622"/>
    <cellStyle name="Normal 2 16 7 3" xfId="4980"/>
    <cellStyle name="Normal 2 16 7 3 2" xfId="8330"/>
    <cellStyle name="Normal 2 16 7 4" xfId="10005"/>
    <cellStyle name="Normal 2 16 7 5" xfId="6655"/>
    <cellStyle name="Normal 2 16 8" xfId="3542"/>
    <cellStyle name="Normal 2 16 8 2" xfId="4508"/>
    <cellStyle name="Normal 2 16 8 2 2" xfId="6183"/>
    <cellStyle name="Normal 2 16 8 2 2 2" xfId="9533"/>
    <cellStyle name="Normal 2 16 8 2 3" xfId="11208"/>
    <cellStyle name="Normal 2 16 8 2 4" xfId="7858"/>
    <cellStyle name="Normal 2 16 8 3" xfId="5216"/>
    <cellStyle name="Normal 2 16 8 3 2" xfId="8566"/>
    <cellStyle name="Normal 2 16 8 4" xfId="10241"/>
    <cellStyle name="Normal 2 16 8 5" xfId="6891"/>
    <cellStyle name="Normal 2 16 9" xfId="3777"/>
    <cellStyle name="Normal 2 16 9 2" xfId="4036"/>
    <cellStyle name="Normal 2 16 9 2 2" xfId="5711"/>
    <cellStyle name="Normal 2 16 9 2 2 2" xfId="9061"/>
    <cellStyle name="Normal 2 16 9 2 3" xfId="10736"/>
    <cellStyle name="Normal 2 16 9 2 4" xfId="7386"/>
    <cellStyle name="Normal 2 16 9 3" xfId="5452"/>
    <cellStyle name="Normal 2 16 9 3 2" xfId="8802"/>
    <cellStyle name="Normal 2 16 9 4" xfId="10477"/>
    <cellStyle name="Normal 2 16 9 5" xfId="7127"/>
    <cellStyle name="Normal 2 17" xfId="2868"/>
    <cellStyle name="Normal 2 18" xfId="2092"/>
    <cellStyle name="Normal 2 19" xfId="3093"/>
    <cellStyle name="Normal 2 19 2" xfId="3210"/>
    <cellStyle name="Normal 2 19 2 2" xfId="3446"/>
    <cellStyle name="Normal 2 19 2 2 2" xfId="4412"/>
    <cellStyle name="Normal 2 19 2 2 2 2" xfId="6087"/>
    <cellStyle name="Normal 2 19 2 2 2 2 2" xfId="9437"/>
    <cellStyle name="Normal 2 19 2 2 2 3" xfId="11112"/>
    <cellStyle name="Normal 2 19 2 2 2 4" xfId="7762"/>
    <cellStyle name="Normal 2 19 2 2 3" xfId="5120"/>
    <cellStyle name="Normal 2 19 2 2 3 2" xfId="8470"/>
    <cellStyle name="Normal 2 19 2 2 4" xfId="10145"/>
    <cellStyle name="Normal 2 19 2 2 5" xfId="6795"/>
    <cellStyle name="Normal 2 19 2 3" xfId="3681"/>
    <cellStyle name="Normal 2 19 2 3 2" xfId="4648"/>
    <cellStyle name="Normal 2 19 2 3 2 2" xfId="6323"/>
    <cellStyle name="Normal 2 19 2 3 2 2 2" xfId="9673"/>
    <cellStyle name="Normal 2 19 2 3 2 3" xfId="11348"/>
    <cellStyle name="Normal 2 19 2 3 2 4" xfId="7998"/>
    <cellStyle name="Normal 2 19 2 3 3" xfId="5356"/>
    <cellStyle name="Normal 2 19 2 3 3 2" xfId="8706"/>
    <cellStyle name="Normal 2 19 2 3 4" xfId="10381"/>
    <cellStyle name="Normal 2 19 2 3 5" xfId="7031"/>
    <cellStyle name="Normal 2 19 2 4" xfId="3917"/>
    <cellStyle name="Normal 2 19 2 4 2" xfId="5592"/>
    <cellStyle name="Normal 2 19 2 4 2 2" xfId="8942"/>
    <cellStyle name="Normal 2 19 2 4 3" xfId="10617"/>
    <cellStyle name="Normal 2 19 2 4 4" xfId="7267"/>
    <cellStyle name="Normal 2 19 2 5" xfId="4176"/>
    <cellStyle name="Normal 2 19 2 5 2" xfId="5851"/>
    <cellStyle name="Normal 2 19 2 5 2 2" xfId="9201"/>
    <cellStyle name="Normal 2 19 2 5 3" xfId="10876"/>
    <cellStyle name="Normal 2 19 2 5 4" xfId="7526"/>
    <cellStyle name="Normal 2 19 2 6" xfId="4884"/>
    <cellStyle name="Normal 2 19 2 6 2" xfId="8234"/>
    <cellStyle name="Normal 2 19 2 7" xfId="9909"/>
    <cellStyle name="Normal 2 19 2 8" xfId="6559"/>
    <cellStyle name="Normal 2 19 3" xfId="3327"/>
    <cellStyle name="Normal 2 19 3 2" xfId="4293"/>
    <cellStyle name="Normal 2 19 3 2 2" xfId="5968"/>
    <cellStyle name="Normal 2 19 3 2 2 2" xfId="9318"/>
    <cellStyle name="Normal 2 19 3 2 3" xfId="10993"/>
    <cellStyle name="Normal 2 19 3 2 4" xfId="7643"/>
    <cellStyle name="Normal 2 19 3 3" xfId="5001"/>
    <cellStyle name="Normal 2 19 3 3 2" xfId="8351"/>
    <cellStyle name="Normal 2 19 3 4" xfId="10026"/>
    <cellStyle name="Normal 2 19 3 5" xfId="6676"/>
    <cellStyle name="Normal 2 19 4" xfId="3562"/>
    <cellStyle name="Normal 2 19 4 2" xfId="4529"/>
    <cellStyle name="Normal 2 19 4 2 2" xfId="6204"/>
    <cellStyle name="Normal 2 19 4 2 2 2" xfId="9554"/>
    <cellStyle name="Normal 2 19 4 2 3" xfId="11229"/>
    <cellStyle name="Normal 2 19 4 2 4" xfId="7879"/>
    <cellStyle name="Normal 2 19 4 3" xfId="5237"/>
    <cellStyle name="Normal 2 19 4 3 2" xfId="8587"/>
    <cellStyle name="Normal 2 19 4 4" xfId="10262"/>
    <cellStyle name="Normal 2 19 4 5" xfId="6912"/>
    <cellStyle name="Normal 2 19 5" xfId="3798"/>
    <cellStyle name="Normal 2 19 5 2" xfId="5473"/>
    <cellStyle name="Normal 2 19 5 2 2" xfId="8823"/>
    <cellStyle name="Normal 2 19 5 3" xfId="10498"/>
    <cellStyle name="Normal 2 19 5 4" xfId="7148"/>
    <cellStyle name="Normal 2 19 6" xfId="4057"/>
    <cellStyle name="Normal 2 19 6 2" xfId="5732"/>
    <cellStyle name="Normal 2 19 6 2 2" xfId="9082"/>
    <cellStyle name="Normal 2 19 6 3" xfId="10757"/>
    <cellStyle name="Normal 2 19 6 4" xfId="7407"/>
    <cellStyle name="Normal 2 19 7" xfId="4765"/>
    <cellStyle name="Normal 2 19 7 2" xfId="8115"/>
    <cellStyle name="Normal 2 19 8" xfId="9790"/>
    <cellStyle name="Normal 2 19 9" xfId="6440"/>
    <cellStyle name="Normal 2 2" xfId="32"/>
    <cellStyle name="Normal 2 2 10" xfId="11"/>
    <cellStyle name="Normal 2 2 11" xfId="2093"/>
    <cellStyle name="Normal 2 2 12" xfId="17"/>
    <cellStyle name="Normal 2 2 12 10" xfId="3547"/>
    <cellStyle name="Normal 2 2 12 10 2" xfId="4514"/>
    <cellStyle name="Normal 2 2 12 10 2 2" xfId="6189"/>
    <cellStyle name="Normal 2 2 12 10 2 2 2" xfId="9539"/>
    <cellStyle name="Normal 2 2 12 10 2 3" xfId="11214"/>
    <cellStyle name="Normal 2 2 12 10 2 4" xfId="7864"/>
    <cellStyle name="Normal 2 2 12 10 3" xfId="5222"/>
    <cellStyle name="Normal 2 2 12 10 3 2" xfId="8572"/>
    <cellStyle name="Normal 2 2 12 10 4" xfId="10247"/>
    <cellStyle name="Normal 2 2 12 10 5" xfId="6897"/>
    <cellStyle name="Normal 2 2 12 11" xfId="3783"/>
    <cellStyle name="Normal 2 2 12 11 2" xfId="4042"/>
    <cellStyle name="Normal 2 2 12 11 2 2" xfId="5717"/>
    <cellStyle name="Normal 2 2 12 11 2 2 2" xfId="9067"/>
    <cellStyle name="Normal 2 2 12 11 2 3" xfId="10742"/>
    <cellStyle name="Normal 2 2 12 11 2 4" xfId="7392"/>
    <cellStyle name="Normal 2 2 12 11 3" xfId="5458"/>
    <cellStyle name="Normal 2 2 12 11 3 2" xfId="8808"/>
    <cellStyle name="Normal 2 2 12 11 4" xfId="10483"/>
    <cellStyle name="Normal 2 2 12 11 5" xfId="7133"/>
    <cellStyle name="Normal 2 2 12 12" xfId="4019"/>
    <cellStyle name="Normal 2 2 12 12 2" xfId="5694"/>
    <cellStyle name="Normal 2 2 12 12 2 2" xfId="9044"/>
    <cellStyle name="Normal 2 2 12 12 3" xfId="10719"/>
    <cellStyle name="Normal 2 2 12 12 4" xfId="7369"/>
    <cellStyle name="Normal 2 2 12 13" xfId="4750"/>
    <cellStyle name="Normal 2 2 12 13 2" xfId="8100"/>
    <cellStyle name="Normal 2 2 12 14" xfId="9775"/>
    <cellStyle name="Normal 2 2 12 15" xfId="6425"/>
    <cellStyle name="Normal 2 2 12 16" xfId="12232"/>
    <cellStyle name="Normal 2 2 12 2" xfId="2094"/>
    <cellStyle name="Normal 2 2 12 2 10" xfId="4020"/>
    <cellStyle name="Normal 2 2 12 2 10 2" xfId="5695"/>
    <cellStyle name="Normal 2 2 12 2 10 2 2" xfId="9045"/>
    <cellStyle name="Normal 2 2 12 2 10 3" xfId="10720"/>
    <cellStyle name="Normal 2 2 12 2 10 4" xfId="7370"/>
    <cellStyle name="Normal 2 2 12 2 11" xfId="4751"/>
    <cellStyle name="Normal 2 2 12 2 11 2" xfId="8101"/>
    <cellStyle name="Normal 2 2 12 2 12" xfId="9776"/>
    <cellStyle name="Normal 2 2 12 2 13" xfId="6426"/>
    <cellStyle name="Normal 2 2 12 2 14" xfId="12233"/>
    <cellStyle name="Normal 2 2 12 2 2" xfId="3101"/>
    <cellStyle name="Normal 2 2 12 2 2 2" xfId="3218"/>
    <cellStyle name="Normal 2 2 12 2 2 2 2" xfId="3454"/>
    <cellStyle name="Normal 2 2 12 2 2 2 2 2" xfId="4420"/>
    <cellStyle name="Normal 2 2 12 2 2 2 2 2 2" xfId="6095"/>
    <cellStyle name="Normal 2 2 12 2 2 2 2 2 2 2" xfId="9445"/>
    <cellStyle name="Normal 2 2 12 2 2 2 2 2 3" xfId="11120"/>
    <cellStyle name="Normal 2 2 12 2 2 2 2 2 4" xfId="7770"/>
    <cellStyle name="Normal 2 2 12 2 2 2 2 3" xfId="5128"/>
    <cellStyle name="Normal 2 2 12 2 2 2 2 3 2" xfId="8478"/>
    <cellStyle name="Normal 2 2 12 2 2 2 2 4" xfId="10153"/>
    <cellStyle name="Normal 2 2 12 2 2 2 2 5" xfId="6803"/>
    <cellStyle name="Normal 2 2 12 2 2 2 3" xfId="3689"/>
    <cellStyle name="Normal 2 2 12 2 2 2 3 2" xfId="4656"/>
    <cellStyle name="Normal 2 2 12 2 2 2 3 2 2" xfId="6331"/>
    <cellStyle name="Normal 2 2 12 2 2 2 3 2 2 2" xfId="9681"/>
    <cellStyle name="Normal 2 2 12 2 2 2 3 2 3" xfId="11356"/>
    <cellStyle name="Normal 2 2 12 2 2 2 3 2 4" xfId="8006"/>
    <cellStyle name="Normal 2 2 12 2 2 2 3 3" xfId="5364"/>
    <cellStyle name="Normal 2 2 12 2 2 2 3 3 2" xfId="8714"/>
    <cellStyle name="Normal 2 2 12 2 2 2 3 4" xfId="10389"/>
    <cellStyle name="Normal 2 2 12 2 2 2 3 5" xfId="7039"/>
    <cellStyle name="Normal 2 2 12 2 2 2 4" xfId="3925"/>
    <cellStyle name="Normal 2 2 12 2 2 2 4 2" xfId="5600"/>
    <cellStyle name="Normal 2 2 12 2 2 2 4 2 2" xfId="8950"/>
    <cellStyle name="Normal 2 2 12 2 2 2 4 3" xfId="10625"/>
    <cellStyle name="Normal 2 2 12 2 2 2 4 4" xfId="7275"/>
    <cellStyle name="Normal 2 2 12 2 2 2 5" xfId="4184"/>
    <cellStyle name="Normal 2 2 12 2 2 2 5 2" xfId="5859"/>
    <cellStyle name="Normal 2 2 12 2 2 2 5 2 2" xfId="9209"/>
    <cellStyle name="Normal 2 2 12 2 2 2 5 3" xfId="10884"/>
    <cellStyle name="Normal 2 2 12 2 2 2 5 4" xfId="7534"/>
    <cellStyle name="Normal 2 2 12 2 2 2 6" xfId="4892"/>
    <cellStyle name="Normal 2 2 12 2 2 2 6 2" xfId="8242"/>
    <cellStyle name="Normal 2 2 12 2 2 2 7" xfId="9917"/>
    <cellStyle name="Normal 2 2 12 2 2 2 8" xfId="6567"/>
    <cellStyle name="Normal 2 2 12 2 2 3" xfId="3336"/>
    <cellStyle name="Normal 2 2 12 2 2 3 2" xfId="4302"/>
    <cellStyle name="Normal 2 2 12 2 2 3 2 2" xfId="5977"/>
    <cellStyle name="Normal 2 2 12 2 2 3 2 2 2" xfId="9327"/>
    <cellStyle name="Normal 2 2 12 2 2 3 2 3" xfId="11002"/>
    <cellStyle name="Normal 2 2 12 2 2 3 2 4" xfId="7652"/>
    <cellStyle name="Normal 2 2 12 2 2 3 3" xfId="5010"/>
    <cellStyle name="Normal 2 2 12 2 2 3 3 2" xfId="8360"/>
    <cellStyle name="Normal 2 2 12 2 2 3 4" xfId="10035"/>
    <cellStyle name="Normal 2 2 12 2 2 3 5" xfId="6685"/>
    <cellStyle name="Normal 2 2 12 2 2 4" xfId="3571"/>
    <cellStyle name="Normal 2 2 12 2 2 4 2" xfId="4538"/>
    <cellStyle name="Normal 2 2 12 2 2 4 2 2" xfId="6213"/>
    <cellStyle name="Normal 2 2 12 2 2 4 2 2 2" xfId="9563"/>
    <cellStyle name="Normal 2 2 12 2 2 4 2 3" xfId="11238"/>
    <cellStyle name="Normal 2 2 12 2 2 4 2 4" xfId="7888"/>
    <cellStyle name="Normal 2 2 12 2 2 4 3" xfId="5246"/>
    <cellStyle name="Normal 2 2 12 2 2 4 3 2" xfId="8596"/>
    <cellStyle name="Normal 2 2 12 2 2 4 4" xfId="10271"/>
    <cellStyle name="Normal 2 2 12 2 2 4 5" xfId="6921"/>
    <cellStyle name="Normal 2 2 12 2 2 5" xfId="3807"/>
    <cellStyle name="Normal 2 2 12 2 2 5 2" xfId="5482"/>
    <cellStyle name="Normal 2 2 12 2 2 5 2 2" xfId="8832"/>
    <cellStyle name="Normal 2 2 12 2 2 5 3" xfId="10507"/>
    <cellStyle name="Normal 2 2 12 2 2 5 4" xfId="7157"/>
    <cellStyle name="Normal 2 2 12 2 2 6" xfId="4066"/>
    <cellStyle name="Normal 2 2 12 2 2 6 2" xfId="5741"/>
    <cellStyle name="Normal 2 2 12 2 2 6 2 2" xfId="9091"/>
    <cellStyle name="Normal 2 2 12 2 2 6 3" xfId="10766"/>
    <cellStyle name="Normal 2 2 12 2 2 6 4" xfId="7416"/>
    <cellStyle name="Normal 2 2 12 2 2 7" xfId="4774"/>
    <cellStyle name="Normal 2 2 12 2 2 7 2" xfId="8124"/>
    <cellStyle name="Normal 2 2 12 2 2 8" xfId="9799"/>
    <cellStyle name="Normal 2 2 12 2 2 9" xfId="6449"/>
    <cellStyle name="Normal 2 2 12 2 3" xfId="3124"/>
    <cellStyle name="Normal 2 2 12 2 3 2" xfId="3241"/>
    <cellStyle name="Normal 2 2 12 2 3 2 2" xfId="3477"/>
    <cellStyle name="Normal 2 2 12 2 3 2 2 2" xfId="4443"/>
    <cellStyle name="Normal 2 2 12 2 3 2 2 2 2" xfId="6118"/>
    <cellStyle name="Normal 2 2 12 2 3 2 2 2 2 2" xfId="9468"/>
    <cellStyle name="Normal 2 2 12 2 3 2 2 2 3" xfId="11143"/>
    <cellStyle name="Normal 2 2 12 2 3 2 2 2 4" xfId="7793"/>
    <cellStyle name="Normal 2 2 12 2 3 2 2 3" xfId="5151"/>
    <cellStyle name="Normal 2 2 12 2 3 2 2 3 2" xfId="8501"/>
    <cellStyle name="Normal 2 2 12 2 3 2 2 4" xfId="10176"/>
    <cellStyle name="Normal 2 2 12 2 3 2 2 5" xfId="6826"/>
    <cellStyle name="Normal 2 2 12 2 3 2 3" xfId="3712"/>
    <cellStyle name="Normal 2 2 12 2 3 2 3 2" xfId="4679"/>
    <cellStyle name="Normal 2 2 12 2 3 2 3 2 2" xfId="6354"/>
    <cellStyle name="Normal 2 2 12 2 3 2 3 2 2 2" xfId="9704"/>
    <cellStyle name="Normal 2 2 12 2 3 2 3 2 3" xfId="11379"/>
    <cellStyle name="Normal 2 2 12 2 3 2 3 2 4" xfId="8029"/>
    <cellStyle name="Normal 2 2 12 2 3 2 3 3" xfId="5387"/>
    <cellStyle name="Normal 2 2 12 2 3 2 3 3 2" xfId="8737"/>
    <cellStyle name="Normal 2 2 12 2 3 2 3 4" xfId="10412"/>
    <cellStyle name="Normal 2 2 12 2 3 2 3 5" xfId="7062"/>
    <cellStyle name="Normal 2 2 12 2 3 2 4" xfId="3948"/>
    <cellStyle name="Normal 2 2 12 2 3 2 4 2" xfId="5623"/>
    <cellStyle name="Normal 2 2 12 2 3 2 4 2 2" xfId="8973"/>
    <cellStyle name="Normal 2 2 12 2 3 2 4 3" xfId="10648"/>
    <cellStyle name="Normal 2 2 12 2 3 2 4 4" xfId="7298"/>
    <cellStyle name="Normal 2 2 12 2 3 2 5" xfId="4207"/>
    <cellStyle name="Normal 2 2 12 2 3 2 5 2" xfId="5882"/>
    <cellStyle name="Normal 2 2 12 2 3 2 5 2 2" xfId="9232"/>
    <cellStyle name="Normal 2 2 12 2 3 2 5 3" xfId="10907"/>
    <cellStyle name="Normal 2 2 12 2 3 2 5 4" xfId="7557"/>
    <cellStyle name="Normal 2 2 12 2 3 2 6" xfId="4915"/>
    <cellStyle name="Normal 2 2 12 2 3 2 6 2" xfId="8265"/>
    <cellStyle name="Normal 2 2 12 2 3 2 7" xfId="9940"/>
    <cellStyle name="Normal 2 2 12 2 3 2 8" xfId="6590"/>
    <cellStyle name="Normal 2 2 12 2 3 3" xfId="3359"/>
    <cellStyle name="Normal 2 2 12 2 3 3 2" xfId="4325"/>
    <cellStyle name="Normal 2 2 12 2 3 3 2 2" xfId="6000"/>
    <cellStyle name="Normal 2 2 12 2 3 3 2 2 2" xfId="9350"/>
    <cellStyle name="Normal 2 2 12 2 3 3 2 3" xfId="11025"/>
    <cellStyle name="Normal 2 2 12 2 3 3 2 4" xfId="7675"/>
    <cellStyle name="Normal 2 2 12 2 3 3 3" xfId="5033"/>
    <cellStyle name="Normal 2 2 12 2 3 3 3 2" xfId="8383"/>
    <cellStyle name="Normal 2 2 12 2 3 3 4" xfId="10058"/>
    <cellStyle name="Normal 2 2 12 2 3 3 5" xfId="6708"/>
    <cellStyle name="Normal 2 2 12 2 3 4" xfId="3594"/>
    <cellStyle name="Normal 2 2 12 2 3 4 2" xfId="4561"/>
    <cellStyle name="Normal 2 2 12 2 3 4 2 2" xfId="6236"/>
    <cellStyle name="Normal 2 2 12 2 3 4 2 2 2" xfId="9586"/>
    <cellStyle name="Normal 2 2 12 2 3 4 2 3" xfId="11261"/>
    <cellStyle name="Normal 2 2 12 2 3 4 2 4" xfId="7911"/>
    <cellStyle name="Normal 2 2 12 2 3 4 3" xfId="5269"/>
    <cellStyle name="Normal 2 2 12 2 3 4 3 2" xfId="8619"/>
    <cellStyle name="Normal 2 2 12 2 3 4 4" xfId="10294"/>
    <cellStyle name="Normal 2 2 12 2 3 4 5" xfId="6944"/>
    <cellStyle name="Normal 2 2 12 2 3 5" xfId="3830"/>
    <cellStyle name="Normal 2 2 12 2 3 5 2" xfId="5505"/>
    <cellStyle name="Normal 2 2 12 2 3 5 2 2" xfId="8855"/>
    <cellStyle name="Normal 2 2 12 2 3 5 3" xfId="10530"/>
    <cellStyle name="Normal 2 2 12 2 3 5 4" xfId="7180"/>
    <cellStyle name="Normal 2 2 12 2 3 6" xfId="4089"/>
    <cellStyle name="Normal 2 2 12 2 3 6 2" xfId="5764"/>
    <cellStyle name="Normal 2 2 12 2 3 6 2 2" xfId="9114"/>
    <cellStyle name="Normal 2 2 12 2 3 6 3" xfId="10789"/>
    <cellStyle name="Normal 2 2 12 2 3 6 4" xfId="7439"/>
    <cellStyle name="Normal 2 2 12 2 3 7" xfId="4797"/>
    <cellStyle name="Normal 2 2 12 2 3 7 2" xfId="8147"/>
    <cellStyle name="Normal 2 2 12 2 3 8" xfId="9822"/>
    <cellStyle name="Normal 2 2 12 2 3 9" xfId="6472"/>
    <cellStyle name="Normal 2 2 12 2 4" xfId="3147"/>
    <cellStyle name="Normal 2 2 12 2 4 2" xfId="3265"/>
    <cellStyle name="Normal 2 2 12 2 4 2 2" xfId="3501"/>
    <cellStyle name="Normal 2 2 12 2 4 2 2 2" xfId="4467"/>
    <cellStyle name="Normal 2 2 12 2 4 2 2 2 2" xfId="6142"/>
    <cellStyle name="Normal 2 2 12 2 4 2 2 2 2 2" xfId="9492"/>
    <cellStyle name="Normal 2 2 12 2 4 2 2 2 3" xfId="11167"/>
    <cellStyle name="Normal 2 2 12 2 4 2 2 2 4" xfId="7817"/>
    <cellStyle name="Normal 2 2 12 2 4 2 2 3" xfId="5175"/>
    <cellStyle name="Normal 2 2 12 2 4 2 2 3 2" xfId="8525"/>
    <cellStyle name="Normal 2 2 12 2 4 2 2 4" xfId="10200"/>
    <cellStyle name="Normal 2 2 12 2 4 2 2 5" xfId="6850"/>
    <cellStyle name="Normal 2 2 12 2 4 2 3" xfId="3736"/>
    <cellStyle name="Normal 2 2 12 2 4 2 3 2" xfId="4703"/>
    <cellStyle name="Normal 2 2 12 2 4 2 3 2 2" xfId="6378"/>
    <cellStyle name="Normal 2 2 12 2 4 2 3 2 2 2" xfId="9728"/>
    <cellStyle name="Normal 2 2 12 2 4 2 3 2 3" xfId="11403"/>
    <cellStyle name="Normal 2 2 12 2 4 2 3 2 4" xfId="8053"/>
    <cellStyle name="Normal 2 2 12 2 4 2 3 3" xfId="5411"/>
    <cellStyle name="Normal 2 2 12 2 4 2 3 3 2" xfId="8761"/>
    <cellStyle name="Normal 2 2 12 2 4 2 3 4" xfId="10436"/>
    <cellStyle name="Normal 2 2 12 2 4 2 3 5" xfId="7086"/>
    <cellStyle name="Normal 2 2 12 2 4 2 4" xfId="3972"/>
    <cellStyle name="Normal 2 2 12 2 4 2 4 2" xfId="5647"/>
    <cellStyle name="Normal 2 2 12 2 4 2 4 2 2" xfId="8997"/>
    <cellStyle name="Normal 2 2 12 2 4 2 4 3" xfId="10672"/>
    <cellStyle name="Normal 2 2 12 2 4 2 4 4" xfId="7322"/>
    <cellStyle name="Normal 2 2 12 2 4 2 5" xfId="4231"/>
    <cellStyle name="Normal 2 2 12 2 4 2 5 2" xfId="5906"/>
    <cellStyle name="Normal 2 2 12 2 4 2 5 2 2" xfId="9256"/>
    <cellStyle name="Normal 2 2 12 2 4 2 5 3" xfId="10931"/>
    <cellStyle name="Normal 2 2 12 2 4 2 5 4" xfId="7581"/>
    <cellStyle name="Normal 2 2 12 2 4 2 6" xfId="4939"/>
    <cellStyle name="Normal 2 2 12 2 4 2 6 2" xfId="8289"/>
    <cellStyle name="Normal 2 2 12 2 4 2 7" xfId="9964"/>
    <cellStyle name="Normal 2 2 12 2 4 2 8" xfId="6614"/>
    <cellStyle name="Normal 2 2 12 2 4 3" xfId="3383"/>
    <cellStyle name="Normal 2 2 12 2 4 3 2" xfId="4349"/>
    <cellStyle name="Normal 2 2 12 2 4 3 2 2" xfId="6024"/>
    <cellStyle name="Normal 2 2 12 2 4 3 2 2 2" xfId="9374"/>
    <cellStyle name="Normal 2 2 12 2 4 3 2 3" xfId="11049"/>
    <cellStyle name="Normal 2 2 12 2 4 3 2 4" xfId="7699"/>
    <cellStyle name="Normal 2 2 12 2 4 3 3" xfId="5057"/>
    <cellStyle name="Normal 2 2 12 2 4 3 3 2" xfId="8407"/>
    <cellStyle name="Normal 2 2 12 2 4 3 4" xfId="10082"/>
    <cellStyle name="Normal 2 2 12 2 4 3 5" xfId="6732"/>
    <cellStyle name="Normal 2 2 12 2 4 4" xfId="3618"/>
    <cellStyle name="Normal 2 2 12 2 4 4 2" xfId="4585"/>
    <cellStyle name="Normal 2 2 12 2 4 4 2 2" xfId="6260"/>
    <cellStyle name="Normal 2 2 12 2 4 4 2 2 2" xfId="9610"/>
    <cellStyle name="Normal 2 2 12 2 4 4 2 3" xfId="11285"/>
    <cellStyle name="Normal 2 2 12 2 4 4 2 4" xfId="7935"/>
    <cellStyle name="Normal 2 2 12 2 4 4 3" xfId="5293"/>
    <cellStyle name="Normal 2 2 12 2 4 4 3 2" xfId="8643"/>
    <cellStyle name="Normal 2 2 12 2 4 4 4" xfId="10318"/>
    <cellStyle name="Normal 2 2 12 2 4 4 5" xfId="6968"/>
    <cellStyle name="Normal 2 2 12 2 4 5" xfId="3854"/>
    <cellStyle name="Normal 2 2 12 2 4 5 2" xfId="5529"/>
    <cellStyle name="Normal 2 2 12 2 4 5 2 2" xfId="8879"/>
    <cellStyle name="Normal 2 2 12 2 4 5 3" xfId="10554"/>
    <cellStyle name="Normal 2 2 12 2 4 5 4" xfId="7204"/>
    <cellStyle name="Normal 2 2 12 2 4 6" xfId="4113"/>
    <cellStyle name="Normal 2 2 12 2 4 6 2" xfId="5788"/>
    <cellStyle name="Normal 2 2 12 2 4 6 2 2" xfId="9138"/>
    <cellStyle name="Normal 2 2 12 2 4 6 3" xfId="10813"/>
    <cellStyle name="Normal 2 2 12 2 4 6 4" xfId="7463"/>
    <cellStyle name="Normal 2 2 12 2 4 7" xfId="4821"/>
    <cellStyle name="Normal 2 2 12 2 4 7 2" xfId="8171"/>
    <cellStyle name="Normal 2 2 12 2 4 8" xfId="9846"/>
    <cellStyle name="Normal 2 2 12 2 4 9" xfId="6496"/>
    <cellStyle name="Normal 2 2 12 2 5" xfId="3171"/>
    <cellStyle name="Normal 2 2 12 2 5 2" xfId="3289"/>
    <cellStyle name="Normal 2 2 12 2 5 2 2" xfId="3525"/>
    <cellStyle name="Normal 2 2 12 2 5 2 2 2" xfId="4491"/>
    <cellStyle name="Normal 2 2 12 2 5 2 2 2 2" xfId="6166"/>
    <cellStyle name="Normal 2 2 12 2 5 2 2 2 2 2" xfId="9516"/>
    <cellStyle name="Normal 2 2 12 2 5 2 2 2 3" xfId="11191"/>
    <cellStyle name="Normal 2 2 12 2 5 2 2 2 4" xfId="7841"/>
    <cellStyle name="Normal 2 2 12 2 5 2 2 3" xfId="5199"/>
    <cellStyle name="Normal 2 2 12 2 5 2 2 3 2" xfId="8549"/>
    <cellStyle name="Normal 2 2 12 2 5 2 2 4" xfId="10224"/>
    <cellStyle name="Normal 2 2 12 2 5 2 2 5" xfId="6874"/>
    <cellStyle name="Normal 2 2 12 2 5 2 3" xfId="3760"/>
    <cellStyle name="Normal 2 2 12 2 5 2 3 2" xfId="4727"/>
    <cellStyle name="Normal 2 2 12 2 5 2 3 2 2" xfId="6402"/>
    <cellStyle name="Normal 2 2 12 2 5 2 3 2 2 2" xfId="9752"/>
    <cellStyle name="Normal 2 2 12 2 5 2 3 2 3" xfId="11427"/>
    <cellStyle name="Normal 2 2 12 2 5 2 3 2 4" xfId="8077"/>
    <cellStyle name="Normal 2 2 12 2 5 2 3 3" xfId="5435"/>
    <cellStyle name="Normal 2 2 12 2 5 2 3 3 2" xfId="8785"/>
    <cellStyle name="Normal 2 2 12 2 5 2 3 4" xfId="10460"/>
    <cellStyle name="Normal 2 2 12 2 5 2 3 5" xfId="7110"/>
    <cellStyle name="Normal 2 2 12 2 5 2 4" xfId="3996"/>
    <cellStyle name="Normal 2 2 12 2 5 2 4 2" xfId="5671"/>
    <cellStyle name="Normal 2 2 12 2 5 2 4 2 2" xfId="9021"/>
    <cellStyle name="Normal 2 2 12 2 5 2 4 3" xfId="10696"/>
    <cellStyle name="Normal 2 2 12 2 5 2 4 4" xfId="7346"/>
    <cellStyle name="Normal 2 2 12 2 5 2 5" xfId="4255"/>
    <cellStyle name="Normal 2 2 12 2 5 2 5 2" xfId="5930"/>
    <cellStyle name="Normal 2 2 12 2 5 2 5 2 2" xfId="9280"/>
    <cellStyle name="Normal 2 2 12 2 5 2 5 3" xfId="10955"/>
    <cellStyle name="Normal 2 2 12 2 5 2 5 4" xfId="7605"/>
    <cellStyle name="Normal 2 2 12 2 5 2 6" xfId="4963"/>
    <cellStyle name="Normal 2 2 12 2 5 2 6 2" xfId="8313"/>
    <cellStyle name="Normal 2 2 12 2 5 2 7" xfId="9988"/>
    <cellStyle name="Normal 2 2 12 2 5 2 8" xfId="6638"/>
    <cellStyle name="Normal 2 2 12 2 5 3" xfId="3407"/>
    <cellStyle name="Normal 2 2 12 2 5 3 2" xfId="4373"/>
    <cellStyle name="Normal 2 2 12 2 5 3 2 2" xfId="6048"/>
    <cellStyle name="Normal 2 2 12 2 5 3 2 2 2" xfId="9398"/>
    <cellStyle name="Normal 2 2 12 2 5 3 2 3" xfId="11073"/>
    <cellStyle name="Normal 2 2 12 2 5 3 2 4" xfId="7723"/>
    <cellStyle name="Normal 2 2 12 2 5 3 3" xfId="5081"/>
    <cellStyle name="Normal 2 2 12 2 5 3 3 2" xfId="8431"/>
    <cellStyle name="Normal 2 2 12 2 5 3 4" xfId="10106"/>
    <cellStyle name="Normal 2 2 12 2 5 3 5" xfId="6756"/>
    <cellStyle name="Normal 2 2 12 2 5 4" xfId="3642"/>
    <cellStyle name="Normal 2 2 12 2 5 4 2" xfId="4609"/>
    <cellStyle name="Normal 2 2 12 2 5 4 2 2" xfId="6284"/>
    <cellStyle name="Normal 2 2 12 2 5 4 2 2 2" xfId="9634"/>
    <cellStyle name="Normal 2 2 12 2 5 4 2 3" xfId="11309"/>
    <cellStyle name="Normal 2 2 12 2 5 4 2 4" xfId="7959"/>
    <cellStyle name="Normal 2 2 12 2 5 4 3" xfId="5317"/>
    <cellStyle name="Normal 2 2 12 2 5 4 3 2" xfId="8667"/>
    <cellStyle name="Normal 2 2 12 2 5 4 4" xfId="10342"/>
    <cellStyle name="Normal 2 2 12 2 5 4 5" xfId="6992"/>
    <cellStyle name="Normal 2 2 12 2 5 5" xfId="3878"/>
    <cellStyle name="Normal 2 2 12 2 5 5 2" xfId="5553"/>
    <cellStyle name="Normal 2 2 12 2 5 5 2 2" xfId="8903"/>
    <cellStyle name="Normal 2 2 12 2 5 5 3" xfId="10578"/>
    <cellStyle name="Normal 2 2 12 2 5 5 4" xfId="7228"/>
    <cellStyle name="Normal 2 2 12 2 5 6" xfId="4137"/>
    <cellStyle name="Normal 2 2 12 2 5 6 2" xfId="5812"/>
    <cellStyle name="Normal 2 2 12 2 5 6 2 2" xfId="9162"/>
    <cellStyle name="Normal 2 2 12 2 5 6 3" xfId="10837"/>
    <cellStyle name="Normal 2 2 12 2 5 6 4" xfId="7487"/>
    <cellStyle name="Normal 2 2 12 2 5 7" xfId="4845"/>
    <cellStyle name="Normal 2 2 12 2 5 7 2" xfId="8195"/>
    <cellStyle name="Normal 2 2 12 2 5 8" xfId="9870"/>
    <cellStyle name="Normal 2 2 12 2 5 9" xfId="6520"/>
    <cellStyle name="Normal 2 2 12 2 6" xfId="3195"/>
    <cellStyle name="Normal 2 2 12 2 6 2" xfId="3431"/>
    <cellStyle name="Normal 2 2 12 2 6 2 2" xfId="4397"/>
    <cellStyle name="Normal 2 2 12 2 6 2 2 2" xfId="6072"/>
    <cellStyle name="Normal 2 2 12 2 6 2 2 2 2" xfId="9422"/>
    <cellStyle name="Normal 2 2 12 2 6 2 2 3" xfId="11097"/>
    <cellStyle name="Normal 2 2 12 2 6 2 2 4" xfId="7747"/>
    <cellStyle name="Normal 2 2 12 2 6 2 3" xfId="5105"/>
    <cellStyle name="Normal 2 2 12 2 6 2 3 2" xfId="8455"/>
    <cellStyle name="Normal 2 2 12 2 6 2 4" xfId="10130"/>
    <cellStyle name="Normal 2 2 12 2 6 2 5" xfId="6780"/>
    <cellStyle name="Normal 2 2 12 2 6 3" xfId="3666"/>
    <cellStyle name="Normal 2 2 12 2 6 3 2" xfId="4633"/>
    <cellStyle name="Normal 2 2 12 2 6 3 2 2" xfId="6308"/>
    <cellStyle name="Normal 2 2 12 2 6 3 2 2 2" xfId="9658"/>
    <cellStyle name="Normal 2 2 12 2 6 3 2 3" xfId="11333"/>
    <cellStyle name="Normal 2 2 12 2 6 3 2 4" xfId="7983"/>
    <cellStyle name="Normal 2 2 12 2 6 3 3" xfId="5341"/>
    <cellStyle name="Normal 2 2 12 2 6 3 3 2" xfId="8691"/>
    <cellStyle name="Normal 2 2 12 2 6 3 4" xfId="10366"/>
    <cellStyle name="Normal 2 2 12 2 6 3 5" xfId="7016"/>
    <cellStyle name="Normal 2 2 12 2 6 4" xfId="3902"/>
    <cellStyle name="Normal 2 2 12 2 6 4 2" xfId="5577"/>
    <cellStyle name="Normal 2 2 12 2 6 4 2 2" xfId="8927"/>
    <cellStyle name="Normal 2 2 12 2 6 4 3" xfId="10602"/>
    <cellStyle name="Normal 2 2 12 2 6 4 4" xfId="7252"/>
    <cellStyle name="Normal 2 2 12 2 6 5" xfId="4161"/>
    <cellStyle name="Normal 2 2 12 2 6 5 2" xfId="5836"/>
    <cellStyle name="Normal 2 2 12 2 6 5 2 2" xfId="9186"/>
    <cellStyle name="Normal 2 2 12 2 6 5 3" xfId="10861"/>
    <cellStyle name="Normal 2 2 12 2 6 5 4" xfId="7511"/>
    <cellStyle name="Normal 2 2 12 2 6 6" xfId="4869"/>
    <cellStyle name="Normal 2 2 12 2 6 6 2" xfId="8219"/>
    <cellStyle name="Normal 2 2 12 2 6 7" xfId="9894"/>
    <cellStyle name="Normal 2 2 12 2 6 8" xfId="6544"/>
    <cellStyle name="Normal 2 2 12 2 7" xfId="3313"/>
    <cellStyle name="Normal 2 2 12 2 7 2" xfId="4279"/>
    <cellStyle name="Normal 2 2 12 2 7 2 2" xfId="5954"/>
    <cellStyle name="Normal 2 2 12 2 7 2 2 2" xfId="9304"/>
    <cellStyle name="Normal 2 2 12 2 7 2 3" xfId="10979"/>
    <cellStyle name="Normal 2 2 12 2 7 2 4" xfId="7629"/>
    <cellStyle name="Normal 2 2 12 2 7 3" xfId="4987"/>
    <cellStyle name="Normal 2 2 12 2 7 3 2" xfId="8337"/>
    <cellStyle name="Normal 2 2 12 2 7 4" xfId="10012"/>
    <cellStyle name="Normal 2 2 12 2 7 5" xfId="6662"/>
    <cellStyle name="Normal 2 2 12 2 8" xfId="3548"/>
    <cellStyle name="Normal 2 2 12 2 8 2" xfId="4515"/>
    <cellStyle name="Normal 2 2 12 2 8 2 2" xfId="6190"/>
    <cellStyle name="Normal 2 2 12 2 8 2 2 2" xfId="9540"/>
    <cellStyle name="Normal 2 2 12 2 8 2 3" xfId="11215"/>
    <cellStyle name="Normal 2 2 12 2 8 2 4" xfId="7865"/>
    <cellStyle name="Normal 2 2 12 2 8 3" xfId="5223"/>
    <cellStyle name="Normal 2 2 12 2 8 3 2" xfId="8573"/>
    <cellStyle name="Normal 2 2 12 2 8 4" xfId="10248"/>
    <cellStyle name="Normal 2 2 12 2 8 5" xfId="6898"/>
    <cellStyle name="Normal 2 2 12 2 9" xfId="3784"/>
    <cellStyle name="Normal 2 2 12 2 9 2" xfId="4043"/>
    <cellStyle name="Normal 2 2 12 2 9 2 2" xfId="5718"/>
    <cellStyle name="Normal 2 2 12 2 9 2 2 2" xfId="9068"/>
    <cellStyle name="Normal 2 2 12 2 9 2 3" xfId="10743"/>
    <cellStyle name="Normal 2 2 12 2 9 2 4" xfId="7393"/>
    <cellStyle name="Normal 2 2 12 2 9 3" xfId="5459"/>
    <cellStyle name="Normal 2 2 12 2 9 3 2" xfId="8809"/>
    <cellStyle name="Normal 2 2 12 2 9 4" xfId="10484"/>
    <cellStyle name="Normal 2 2 12 2 9 5" xfId="7134"/>
    <cellStyle name="Normal 2 2 12 3" xfId="2095"/>
    <cellStyle name="Normal 2 2 12 4" xfId="3100"/>
    <cellStyle name="Normal 2 2 12 4 2" xfId="3217"/>
    <cellStyle name="Normal 2 2 12 4 2 2" xfId="3453"/>
    <cellStyle name="Normal 2 2 12 4 2 2 2" xfId="4419"/>
    <cellStyle name="Normal 2 2 12 4 2 2 2 2" xfId="6094"/>
    <cellStyle name="Normal 2 2 12 4 2 2 2 2 2" xfId="9444"/>
    <cellStyle name="Normal 2 2 12 4 2 2 2 3" xfId="11119"/>
    <cellStyle name="Normal 2 2 12 4 2 2 2 4" xfId="7769"/>
    <cellStyle name="Normal 2 2 12 4 2 2 3" xfId="5127"/>
    <cellStyle name="Normal 2 2 12 4 2 2 3 2" xfId="8477"/>
    <cellStyle name="Normal 2 2 12 4 2 2 4" xfId="10152"/>
    <cellStyle name="Normal 2 2 12 4 2 2 5" xfId="6802"/>
    <cellStyle name="Normal 2 2 12 4 2 3" xfId="3688"/>
    <cellStyle name="Normal 2 2 12 4 2 3 2" xfId="4655"/>
    <cellStyle name="Normal 2 2 12 4 2 3 2 2" xfId="6330"/>
    <cellStyle name="Normal 2 2 12 4 2 3 2 2 2" xfId="9680"/>
    <cellStyle name="Normal 2 2 12 4 2 3 2 3" xfId="11355"/>
    <cellStyle name="Normal 2 2 12 4 2 3 2 4" xfId="8005"/>
    <cellStyle name="Normal 2 2 12 4 2 3 3" xfId="5363"/>
    <cellStyle name="Normal 2 2 12 4 2 3 3 2" xfId="8713"/>
    <cellStyle name="Normal 2 2 12 4 2 3 4" xfId="10388"/>
    <cellStyle name="Normal 2 2 12 4 2 3 5" xfId="7038"/>
    <cellStyle name="Normal 2 2 12 4 2 4" xfId="3924"/>
    <cellStyle name="Normal 2 2 12 4 2 4 2" xfId="5599"/>
    <cellStyle name="Normal 2 2 12 4 2 4 2 2" xfId="8949"/>
    <cellStyle name="Normal 2 2 12 4 2 4 3" xfId="10624"/>
    <cellStyle name="Normal 2 2 12 4 2 4 4" xfId="7274"/>
    <cellStyle name="Normal 2 2 12 4 2 5" xfId="4183"/>
    <cellStyle name="Normal 2 2 12 4 2 5 2" xfId="5858"/>
    <cellStyle name="Normal 2 2 12 4 2 5 2 2" xfId="9208"/>
    <cellStyle name="Normal 2 2 12 4 2 5 3" xfId="10883"/>
    <cellStyle name="Normal 2 2 12 4 2 5 4" xfId="7533"/>
    <cellStyle name="Normal 2 2 12 4 2 6" xfId="4891"/>
    <cellStyle name="Normal 2 2 12 4 2 6 2" xfId="8241"/>
    <cellStyle name="Normal 2 2 12 4 2 7" xfId="9916"/>
    <cellStyle name="Normal 2 2 12 4 2 8" xfId="6566"/>
    <cellStyle name="Normal 2 2 12 4 3" xfId="3335"/>
    <cellStyle name="Normal 2 2 12 4 3 2" xfId="4301"/>
    <cellStyle name="Normal 2 2 12 4 3 2 2" xfId="5976"/>
    <cellStyle name="Normal 2 2 12 4 3 2 2 2" xfId="9326"/>
    <cellStyle name="Normal 2 2 12 4 3 2 3" xfId="11001"/>
    <cellStyle name="Normal 2 2 12 4 3 2 4" xfId="7651"/>
    <cellStyle name="Normal 2 2 12 4 3 3" xfId="5009"/>
    <cellStyle name="Normal 2 2 12 4 3 3 2" xfId="8359"/>
    <cellStyle name="Normal 2 2 12 4 3 4" xfId="10034"/>
    <cellStyle name="Normal 2 2 12 4 3 5" xfId="6684"/>
    <cellStyle name="Normal 2 2 12 4 4" xfId="3570"/>
    <cellStyle name="Normal 2 2 12 4 4 2" xfId="4537"/>
    <cellStyle name="Normal 2 2 12 4 4 2 2" xfId="6212"/>
    <cellStyle name="Normal 2 2 12 4 4 2 2 2" xfId="9562"/>
    <cellStyle name="Normal 2 2 12 4 4 2 3" xfId="11237"/>
    <cellStyle name="Normal 2 2 12 4 4 2 4" xfId="7887"/>
    <cellStyle name="Normal 2 2 12 4 4 3" xfId="5245"/>
    <cellStyle name="Normal 2 2 12 4 4 3 2" xfId="8595"/>
    <cellStyle name="Normal 2 2 12 4 4 4" xfId="10270"/>
    <cellStyle name="Normal 2 2 12 4 4 5" xfId="6920"/>
    <cellStyle name="Normal 2 2 12 4 5" xfId="3806"/>
    <cellStyle name="Normal 2 2 12 4 5 2" xfId="5481"/>
    <cellStyle name="Normal 2 2 12 4 5 2 2" xfId="8831"/>
    <cellStyle name="Normal 2 2 12 4 5 3" xfId="10506"/>
    <cellStyle name="Normal 2 2 12 4 5 4" xfId="7156"/>
    <cellStyle name="Normal 2 2 12 4 6" xfId="4065"/>
    <cellStyle name="Normal 2 2 12 4 6 2" xfId="5740"/>
    <cellStyle name="Normal 2 2 12 4 6 2 2" xfId="9090"/>
    <cellStyle name="Normal 2 2 12 4 6 3" xfId="10765"/>
    <cellStyle name="Normal 2 2 12 4 6 4" xfId="7415"/>
    <cellStyle name="Normal 2 2 12 4 7" xfId="4773"/>
    <cellStyle name="Normal 2 2 12 4 7 2" xfId="8123"/>
    <cellStyle name="Normal 2 2 12 4 8" xfId="9798"/>
    <cellStyle name="Normal 2 2 12 4 9" xfId="6448"/>
    <cellStyle name="Normal 2 2 12 5" xfId="3123"/>
    <cellStyle name="Normal 2 2 12 5 2" xfId="3240"/>
    <cellStyle name="Normal 2 2 12 5 2 2" xfId="3476"/>
    <cellStyle name="Normal 2 2 12 5 2 2 2" xfId="4442"/>
    <cellStyle name="Normal 2 2 12 5 2 2 2 2" xfId="6117"/>
    <cellStyle name="Normal 2 2 12 5 2 2 2 2 2" xfId="9467"/>
    <cellStyle name="Normal 2 2 12 5 2 2 2 3" xfId="11142"/>
    <cellStyle name="Normal 2 2 12 5 2 2 2 4" xfId="7792"/>
    <cellStyle name="Normal 2 2 12 5 2 2 3" xfId="5150"/>
    <cellStyle name="Normal 2 2 12 5 2 2 3 2" xfId="8500"/>
    <cellStyle name="Normal 2 2 12 5 2 2 4" xfId="10175"/>
    <cellStyle name="Normal 2 2 12 5 2 2 5" xfId="6825"/>
    <cellStyle name="Normal 2 2 12 5 2 3" xfId="3711"/>
    <cellStyle name="Normal 2 2 12 5 2 3 2" xfId="4678"/>
    <cellStyle name="Normal 2 2 12 5 2 3 2 2" xfId="6353"/>
    <cellStyle name="Normal 2 2 12 5 2 3 2 2 2" xfId="9703"/>
    <cellStyle name="Normal 2 2 12 5 2 3 2 3" xfId="11378"/>
    <cellStyle name="Normal 2 2 12 5 2 3 2 4" xfId="8028"/>
    <cellStyle name="Normal 2 2 12 5 2 3 3" xfId="5386"/>
    <cellStyle name="Normal 2 2 12 5 2 3 3 2" xfId="8736"/>
    <cellStyle name="Normal 2 2 12 5 2 3 4" xfId="10411"/>
    <cellStyle name="Normal 2 2 12 5 2 3 5" xfId="7061"/>
    <cellStyle name="Normal 2 2 12 5 2 4" xfId="3947"/>
    <cellStyle name="Normal 2 2 12 5 2 4 2" xfId="5622"/>
    <cellStyle name="Normal 2 2 12 5 2 4 2 2" xfId="8972"/>
    <cellStyle name="Normal 2 2 12 5 2 4 3" xfId="10647"/>
    <cellStyle name="Normal 2 2 12 5 2 4 4" xfId="7297"/>
    <cellStyle name="Normal 2 2 12 5 2 5" xfId="4206"/>
    <cellStyle name="Normal 2 2 12 5 2 5 2" xfId="5881"/>
    <cellStyle name="Normal 2 2 12 5 2 5 2 2" xfId="9231"/>
    <cellStyle name="Normal 2 2 12 5 2 5 3" xfId="10906"/>
    <cellStyle name="Normal 2 2 12 5 2 5 4" xfId="7556"/>
    <cellStyle name="Normal 2 2 12 5 2 6" xfId="4914"/>
    <cellStyle name="Normal 2 2 12 5 2 6 2" xfId="8264"/>
    <cellStyle name="Normal 2 2 12 5 2 7" xfId="9939"/>
    <cellStyle name="Normal 2 2 12 5 2 8" xfId="6589"/>
    <cellStyle name="Normal 2 2 12 5 3" xfId="3358"/>
    <cellStyle name="Normal 2 2 12 5 3 2" xfId="4324"/>
    <cellStyle name="Normal 2 2 12 5 3 2 2" xfId="5999"/>
    <cellStyle name="Normal 2 2 12 5 3 2 2 2" xfId="9349"/>
    <cellStyle name="Normal 2 2 12 5 3 2 3" xfId="11024"/>
    <cellStyle name="Normal 2 2 12 5 3 2 4" xfId="7674"/>
    <cellStyle name="Normal 2 2 12 5 3 3" xfId="5032"/>
    <cellStyle name="Normal 2 2 12 5 3 3 2" xfId="8382"/>
    <cellStyle name="Normal 2 2 12 5 3 4" xfId="10057"/>
    <cellStyle name="Normal 2 2 12 5 3 5" xfId="6707"/>
    <cellStyle name="Normal 2 2 12 5 4" xfId="3593"/>
    <cellStyle name="Normal 2 2 12 5 4 2" xfId="4560"/>
    <cellStyle name="Normal 2 2 12 5 4 2 2" xfId="6235"/>
    <cellStyle name="Normal 2 2 12 5 4 2 2 2" xfId="9585"/>
    <cellStyle name="Normal 2 2 12 5 4 2 3" xfId="11260"/>
    <cellStyle name="Normal 2 2 12 5 4 2 4" xfId="7910"/>
    <cellStyle name="Normal 2 2 12 5 4 3" xfId="5268"/>
    <cellStyle name="Normal 2 2 12 5 4 3 2" xfId="8618"/>
    <cellStyle name="Normal 2 2 12 5 4 4" xfId="10293"/>
    <cellStyle name="Normal 2 2 12 5 4 5" xfId="6943"/>
    <cellStyle name="Normal 2 2 12 5 5" xfId="3829"/>
    <cellStyle name="Normal 2 2 12 5 5 2" xfId="5504"/>
    <cellStyle name="Normal 2 2 12 5 5 2 2" xfId="8854"/>
    <cellStyle name="Normal 2 2 12 5 5 3" xfId="10529"/>
    <cellStyle name="Normal 2 2 12 5 5 4" xfId="7179"/>
    <cellStyle name="Normal 2 2 12 5 6" xfId="4088"/>
    <cellStyle name="Normal 2 2 12 5 6 2" xfId="5763"/>
    <cellStyle name="Normal 2 2 12 5 6 2 2" xfId="9113"/>
    <cellStyle name="Normal 2 2 12 5 6 3" xfId="10788"/>
    <cellStyle name="Normal 2 2 12 5 6 4" xfId="7438"/>
    <cellStyle name="Normal 2 2 12 5 7" xfId="4796"/>
    <cellStyle name="Normal 2 2 12 5 7 2" xfId="8146"/>
    <cellStyle name="Normal 2 2 12 5 8" xfId="9821"/>
    <cellStyle name="Normal 2 2 12 5 9" xfId="6471"/>
    <cellStyle name="Normal 2 2 12 6" xfId="3146"/>
    <cellStyle name="Normal 2 2 12 6 2" xfId="3264"/>
    <cellStyle name="Normal 2 2 12 6 2 2" xfId="3500"/>
    <cellStyle name="Normal 2 2 12 6 2 2 2" xfId="4466"/>
    <cellStyle name="Normal 2 2 12 6 2 2 2 2" xfId="6141"/>
    <cellStyle name="Normal 2 2 12 6 2 2 2 2 2" xfId="9491"/>
    <cellStyle name="Normal 2 2 12 6 2 2 2 3" xfId="11166"/>
    <cellStyle name="Normal 2 2 12 6 2 2 2 4" xfId="7816"/>
    <cellStyle name="Normal 2 2 12 6 2 2 3" xfId="5174"/>
    <cellStyle name="Normal 2 2 12 6 2 2 3 2" xfId="8524"/>
    <cellStyle name="Normal 2 2 12 6 2 2 4" xfId="10199"/>
    <cellStyle name="Normal 2 2 12 6 2 2 5" xfId="6849"/>
    <cellStyle name="Normal 2 2 12 6 2 3" xfId="3735"/>
    <cellStyle name="Normal 2 2 12 6 2 3 2" xfId="4702"/>
    <cellStyle name="Normal 2 2 12 6 2 3 2 2" xfId="6377"/>
    <cellStyle name="Normal 2 2 12 6 2 3 2 2 2" xfId="9727"/>
    <cellStyle name="Normal 2 2 12 6 2 3 2 3" xfId="11402"/>
    <cellStyle name="Normal 2 2 12 6 2 3 2 4" xfId="8052"/>
    <cellStyle name="Normal 2 2 12 6 2 3 3" xfId="5410"/>
    <cellStyle name="Normal 2 2 12 6 2 3 3 2" xfId="8760"/>
    <cellStyle name="Normal 2 2 12 6 2 3 4" xfId="10435"/>
    <cellStyle name="Normal 2 2 12 6 2 3 5" xfId="7085"/>
    <cellStyle name="Normal 2 2 12 6 2 4" xfId="3971"/>
    <cellStyle name="Normal 2 2 12 6 2 4 2" xfId="5646"/>
    <cellStyle name="Normal 2 2 12 6 2 4 2 2" xfId="8996"/>
    <cellStyle name="Normal 2 2 12 6 2 4 3" xfId="10671"/>
    <cellStyle name="Normal 2 2 12 6 2 4 4" xfId="7321"/>
    <cellStyle name="Normal 2 2 12 6 2 5" xfId="4230"/>
    <cellStyle name="Normal 2 2 12 6 2 5 2" xfId="5905"/>
    <cellStyle name="Normal 2 2 12 6 2 5 2 2" xfId="9255"/>
    <cellStyle name="Normal 2 2 12 6 2 5 3" xfId="10930"/>
    <cellStyle name="Normal 2 2 12 6 2 5 4" xfId="7580"/>
    <cellStyle name="Normal 2 2 12 6 2 6" xfId="4938"/>
    <cellStyle name="Normal 2 2 12 6 2 6 2" xfId="8288"/>
    <cellStyle name="Normal 2 2 12 6 2 7" xfId="9963"/>
    <cellStyle name="Normal 2 2 12 6 2 8" xfId="6613"/>
    <cellStyle name="Normal 2 2 12 6 3" xfId="3382"/>
    <cellStyle name="Normal 2 2 12 6 3 2" xfId="4348"/>
    <cellStyle name="Normal 2 2 12 6 3 2 2" xfId="6023"/>
    <cellStyle name="Normal 2 2 12 6 3 2 2 2" xfId="9373"/>
    <cellStyle name="Normal 2 2 12 6 3 2 3" xfId="11048"/>
    <cellStyle name="Normal 2 2 12 6 3 2 4" xfId="7698"/>
    <cellStyle name="Normal 2 2 12 6 3 3" xfId="5056"/>
    <cellStyle name="Normal 2 2 12 6 3 3 2" xfId="8406"/>
    <cellStyle name="Normal 2 2 12 6 3 4" xfId="10081"/>
    <cellStyle name="Normal 2 2 12 6 3 5" xfId="6731"/>
    <cellStyle name="Normal 2 2 12 6 4" xfId="3617"/>
    <cellStyle name="Normal 2 2 12 6 4 2" xfId="4584"/>
    <cellStyle name="Normal 2 2 12 6 4 2 2" xfId="6259"/>
    <cellStyle name="Normal 2 2 12 6 4 2 2 2" xfId="9609"/>
    <cellStyle name="Normal 2 2 12 6 4 2 3" xfId="11284"/>
    <cellStyle name="Normal 2 2 12 6 4 2 4" xfId="7934"/>
    <cellStyle name="Normal 2 2 12 6 4 3" xfId="5292"/>
    <cellStyle name="Normal 2 2 12 6 4 3 2" xfId="8642"/>
    <cellStyle name="Normal 2 2 12 6 4 4" xfId="10317"/>
    <cellStyle name="Normal 2 2 12 6 4 5" xfId="6967"/>
    <cellStyle name="Normal 2 2 12 6 5" xfId="3853"/>
    <cellStyle name="Normal 2 2 12 6 5 2" xfId="5528"/>
    <cellStyle name="Normal 2 2 12 6 5 2 2" xfId="8878"/>
    <cellStyle name="Normal 2 2 12 6 5 3" xfId="10553"/>
    <cellStyle name="Normal 2 2 12 6 5 4" xfId="7203"/>
    <cellStyle name="Normal 2 2 12 6 6" xfId="4112"/>
    <cellStyle name="Normal 2 2 12 6 6 2" xfId="5787"/>
    <cellStyle name="Normal 2 2 12 6 6 2 2" xfId="9137"/>
    <cellStyle name="Normal 2 2 12 6 6 3" xfId="10812"/>
    <cellStyle name="Normal 2 2 12 6 6 4" xfId="7462"/>
    <cellStyle name="Normal 2 2 12 6 7" xfId="4820"/>
    <cellStyle name="Normal 2 2 12 6 7 2" xfId="8170"/>
    <cellStyle name="Normal 2 2 12 6 8" xfId="9845"/>
    <cellStyle name="Normal 2 2 12 6 9" xfId="6495"/>
    <cellStyle name="Normal 2 2 12 7" xfId="3170"/>
    <cellStyle name="Normal 2 2 12 7 2" xfId="3288"/>
    <cellStyle name="Normal 2 2 12 7 2 2" xfId="3524"/>
    <cellStyle name="Normal 2 2 12 7 2 2 2" xfId="4490"/>
    <cellStyle name="Normal 2 2 12 7 2 2 2 2" xfId="6165"/>
    <cellStyle name="Normal 2 2 12 7 2 2 2 2 2" xfId="9515"/>
    <cellStyle name="Normal 2 2 12 7 2 2 2 3" xfId="11190"/>
    <cellStyle name="Normal 2 2 12 7 2 2 2 4" xfId="7840"/>
    <cellStyle name="Normal 2 2 12 7 2 2 3" xfId="5198"/>
    <cellStyle name="Normal 2 2 12 7 2 2 3 2" xfId="8548"/>
    <cellStyle name="Normal 2 2 12 7 2 2 4" xfId="10223"/>
    <cellStyle name="Normal 2 2 12 7 2 2 5" xfId="6873"/>
    <cellStyle name="Normal 2 2 12 7 2 3" xfId="3759"/>
    <cellStyle name="Normal 2 2 12 7 2 3 2" xfId="4726"/>
    <cellStyle name="Normal 2 2 12 7 2 3 2 2" xfId="6401"/>
    <cellStyle name="Normal 2 2 12 7 2 3 2 2 2" xfId="9751"/>
    <cellStyle name="Normal 2 2 12 7 2 3 2 3" xfId="11426"/>
    <cellStyle name="Normal 2 2 12 7 2 3 2 4" xfId="8076"/>
    <cellStyle name="Normal 2 2 12 7 2 3 3" xfId="5434"/>
    <cellStyle name="Normal 2 2 12 7 2 3 3 2" xfId="8784"/>
    <cellStyle name="Normal 2 2 12 7 2 3 4" xfId="10459"/>
    <cellStyle name="Normal 2 2 12 7 2 3 5" xfId="7109"/>
    <cellStyle name="Normal 2 2 12 7 2 4" xfId="3995"/>
    <cellStyle name="Normal 2 2 12 7 2 4 2" xfId="5670"/>
    <cellStyle name="Normal 2 2 12 7 2 4 2 2" xfId="9020"/>
    <cellStyle name="Normal 2 2 12 7 2 4 3" xfId="10695"/>
    <cellStyle name="Normal 2 2 12 7 2 4 4" xfId="7345"/>
    <cellStyle name="Normal 2 2 12 7 2 5" xfId="4254"/>
    <cellStyle name="Normal 2 2 12 7 2 5 2" xfId="5929"/>
    <cellStyle name="Normal 2 2 12 7 2 5 2 2" xfId="9279"/>
    <cellStyle name="Normal 2 2 12 7 2 5 3" xfId="10954"/>
    <cellStyle name="Normal 2 2 12 7 2 5 4" xfId="7604"/>
    <cellStyle name="Normal 2 2 12 7 2 6" xfId="4962"/>
    <cellStyle name="Normal 2 2 12 7 2 6 2" xfId="8312"/>
    <cellStyle name="Normal 2 2 12 7 2 7" xfId="9987"/>
    <cellStyle name="Normal 2 2 12 7 2 8" xfId="6637"/>
    <cellStyle name="Normal 2 2 12 7 3" xfId="3406"/>
    <cellStyle name="Normal 2 2 12 7 3 2" xfId="4372"/>
    <cellStyle name="Normal 2 2 12 7 3 2 2" xfId="6047"/>
    <cellStyle name="Normal 2 2 12 7 3 2 2 2" xfId="9397"/>
    <cellStyle name="Normal 2 2 12 7 3 2 3" xfId="11072"/>
    <cellStyle name="Normal 2 2 12 7 3 2 4" xfId="7722"/>
    <cellStyle name="Normal 2 2 12 7 3 3" xfId="5080"/>
    <cellStyle name="Normal 2 2 12 7 3 3 2" xfId="8430"/>
    <cellStyle name="Normal 2 2 12 7 3 4" xfId="10105"/>
    <cellStyle name="Normal 2 2 12 7 3 5" xfId="6755"/>
    <cellStyle name="Normal 2 2 12 7 4" xfId="3641"/>
    <cellStyle name="Normal 2 2 12 7 4 2" xfId="4608"/>
    <cellStyle name="Normal 2 2 12 7 4 2 2" xfId="6283"/>
    <cellStyle name="Normal 2 2 12 7 4 2 2 2" xfId="9633"/>
    <cellStyle name="Normal 2 2 12 7 4 2 3" xfId="11308"/>
    <cellStyle name="Normal 2 2 12 7 4 2 4" xfId="7958"/>
    <cellStyle name="Normal 2 2 12 7 4 3" xfId="5316"/>
    <cellStyle name="Normal 2 2 12 7 4 3 2" xfId="8666"/>
    <cellStyle name="Normal 2 2 12 7 4 4" xfId="10341"/>
    <cellStyle name="Normal 2 2 12 7 4 5" xfId="6991"/>
    <cellStyle name="Normal 2 2 12 7 5" xfId="3877"/>
    <cellStyle name="Normal 2 2 12 7 5 2" xfId="5552"/>
    <cellStyle name="Normal 2 2 12 7 5 2 2" xfId="8902"/>
    <cellStyle name="Normal 2 2 12 7 5 3" xfId="10577"/>
    <cellStyle name="Normal 2 2 12 7 5 4" xfId="7227"/>
    <cellStyle name="Normal 2 2 12 7 6" xfId="4136"/>
    <cellStyle name="Normal 2 2 12 7 6 2" xfId="5811"/>
    <cellStyle name="Normal 2 2 12 7 6 2 2" xfId="9161"/>
    <cellStyle name="Normal 2 2 12 7 6 3" xfId="10836"/>
    <cellStyle name="Normal 2 2 12 7 6 4" xfId="7486"/>
    <cellStyle name="Normal 2 2 12 7 7" xfId="4844"/>
    <cellStyle name="Normal 2 2 12 7 7 2" xfId="8194"/>
    <cellStyle name="Normal 2 2 12 7 8" xfId="9869"/>
    <cellStyle name="Normal 2 2 12 7 9" xfId="6519"/>
    <cellStyle name="Normal 2 2 12 8" xfId="3194"/>
    <cellStyle name="Normal 2 2 12 8 2" xfId="3430"/>
    <cellStyle name="Normal 2 2 12 8 2 2" xfId="4396"/>
    <cellStyle name="Normal 2 2 12 8 2 2 2" xfId="6071"/>
    <cellStyle name="Normal 2 2 12 8 2 2 2 2" xfId="9421"/>
    <cellStyle name="Normal 2 2 12 8 2 2 3" xfId="11096"/>
    <cellStyle name="Normal 2 2 12 8 2 2 4" xfId="7746"/>
    <cellStyle name="Normal 2 2 12 8 2 3" xfId="5104"/>
    <cellStyle name="Normal 2 2 12 8 2 3 2" xfId="8454"/>
    <cellStyle name="Normal 2 2 12 8 2 4" xfId="10129"/>
    <cellStyle name="Normal 2 2 12 8 2 5" xfId="6779"/>
    <cellStyle name="Normal 2 2 12 8 3" xfId="3665"/>
    <cellStyle name="Normal 2 2 12 8 3 2" xfId="4632"/>
    <cellStyle name="Normal 2 2 12 8 3 2 2" xfId="6307"/>
    <cellStyle name="Normal 2 2 12 8 3 2 2 2" xfId="9657"/>
    <cellStyle name="Normal 2 2 12 8 3 2 3" xfId="11332"/>
    <cellStyle name="Normal 2 2 12 8 3 2 4" xfId="7982"/>
    <cellStyle name="Normal 2 2 12 8 3 3" xfId="5340"/>
    <cellStyle name="Normal 2 2 12 8 3 3 2" xfId="8690"/>
    <cellStyle name="Normal 2 2 12 8 3 4" xfId="10365"/>
    <cellStyle name="Normal 2 2 12 8 3 5" xfId="7015"/>
    <cellStyle name="Normal 2 2 12 8 4" xfId="3901"/>
    <cellStyle name="Normal 2 2 12 8 4 2" xfId="5576"/>
    <cellStyle name="Normal 2 2 12 8 4 2 2" xfId="8926"/>
    <cellStyle name="Normal 2 2 12 8 4 3" xfId="10601"/>
    <cellStyle name="Normal 2 2 12 8 4 4" xfId="7251"/>
    <cellStyle name="Normal 2 2 12 8 5" xfId="4160"/>
    <cellStyle name="Normal 2 2 12 8 5 2" xfId="5835"/>
    <cellStyle name="Normal 2 2 12 8 5 2 2" xfId="9185"/>
    <cellStyle name="Normal 2 2 12 8 5 3" xfId="10860"/>
    <cellStyle name="Normal 2 2 12 8 5 4" xfId="7510"/>
    <cellStyle name="Normal 2 2 12 8 6" xfId="4868"/>
    <cellStyle name="Normal 2 2 12 8 6 2" xfId="8218"/>
    <cellStyle name="Normal 2 2 12 8 7" xfId="9893"/>
    <cellStyle name="Normal 2 2 12 8 8" xfId="6543"/>
    <cellStyle name="Normal 2 2 12 9" xfId="3312"/>
    <cellStyle name="Normal 2 2 12 9 2" xfId="4278"/>
    <cellStyle name="Normal 2 2 12 9 2 2" xfId="5953"/>
    <cellStyle name="Normal 2 2 12 9 2 2 2" xfId="9303"/>
    <cellStyle name="Normal 2 2 12 9 2 3" xfId="10978"/>
    <cellStyle name="Normal 2 2 12 9 2 4" xfId="7628"/>
    <cellStyle name="Normal 2 2 12 9 3" xfId="4986"/>
    <cellStyle name="Normal 2 2 12 9 3 2" xfId="8336"/>
    <cellStyle name="Normal 2 2 12 9 4" xfId="10011"/>
    <cellStyle name="Normal 2 2 12 9 5" xfId="6661"/>
    <cellStyle name="Normal 2 2 13" xfId="2096"/>
    <cellStyle name="Normal 2 2 13 10" xfId="4014"/>
    <cellStyle name="Normal 2 2 13 10 2" xfId="5689"/>
    <cellStyle name="Normal 2 2 13 10 2 2" xfId="9039"/>
    <cellStyle name="Normal 2 2 13 10 3" xfId="10714"/>
    <cellStyle name="Normal 2 2 13 10 4" xfId="7364"/>
    <cellStyle name="Normal 2 2 13 11" xfId="4745"/>
    <cellStyle name="Normal 2 2 13 11 2" xfId="8095"/>
    <cellStyle name="Normal 2 2 13 12" xfId="9770"/>
    <cellStyle name="Normal 2 2 13 13" xfId="6420"/>
    <cellStyle name="Normal 2 2 13 14" xfId="12226"/>
    <cellStyle name="Normal 2 2 13 2" xfId="3096"/>
    <cellStyle name="Normal 2 2 13 2 10" xfId="12273"/>
    <cellStyle name="Normal 2 2 13 2 2" xfId="3213"/>
    <cellStyle name="Normal 2 2 13 2 2 2" xfId="3449"/>
    <cellStyle name="Normal 2 2 13 2 2 2 2" xfId="4415"/>
    <cellStyle name="Normal 2 2 13 2 2 2 2 2" xfId="6090"/>
    <cellStyle name="Normal 2 2 13 2 2 2 2 2 2" xfId="9440"/>
    <cellStyle name="Normal 2 2 13 2 2 2 2 3" xfId="11115"/>
    <cellStyle name="Normal 2 2 13 2 2 2 2 4" xfId="7765"/>
    <cellStyle name="Normal 2 2 13 2 2 2 3" xfId="5123"/>
    <cellStyle name="Normal 2 2 13 2 2 2 3 2" xfId="8473"/>
    <cellStyle name="Normal 2 2 13 2 2 2 4" xfId="10148"/>
    <cellStyle name="Normal 2 2 13 2 2 2 5" xfId="6798"/>
    <cellStyle name="Normal 2 2 13 2 2 3" xfId="3684"/>
    <cellStyle name="Normal 2 2 13 2 2 3 2" xfId="4651"/>
    <cellStyle name="Normal 2 2 13 2 2 3 2 2" xfId="6326"/>
    <cellStyle name="Normal 2 2 13 2 2 3 2 2 2" xfId="9676"/>
    <cellStyle name="Normal 2 2 13 2 2 3 2 3" xfId="11351"/>
    <cellStyle name="Normal 2 2 13 2 2 3 2 4" xfId="8001"/>
    <cellStyle name="Normal 2 2 13 2 2 3 3" xfId="5359"/>
    <cellStyle name="Normal 2 2 13 2 2 3 3 2" xfId="8709"/>
    <cellStyle name="Normal 2 2 13 2 2 3 4" xfId="10384"/>
    <cellStyle name="Normal 2 2 13 2 2 3 5" xfId="7034"/>
    <cellStyle name="Normal 2 2 13 2 2 4" xfId="3920"/>
    <cellStyle name="Normal 2 2 13 2 2 4 2" xfId="5595"/>
    <cellStyle name="Normal 2 2 13 2 2 4 2 2" xfId="8945"/>
    <cellStyle name="Normal 2 2 13 2 2 4 3" xfId="10620"/>
    <cellStyle name="Normal 2 2 13 2 2 4 4" xfId="7270"/>
    <cellStyle name="Normal 2 2 13 2 2 5" xfId="4179"/>
    <cellStyle name="Normal 2 2 13 2 2 5 2" xfId="5854"/>
    <cellStyle name="Normal 2 2 13 2 2 5 2 2" xfId="9204"/>
    <cellStyle name="Normal 2 2 13 2 2 5 3" xfId="10879"/>
    <cellStyle name="Normal 2 2 13 2 2 5 4" xfId="7529"/>
    <cellStyle name="Normal 2 2 13 2 2 6" xfId="4887"/>
    <cellStyle name="Normal 2 2 13 2 2 6 2" xfId="8237"/>
    <cellStyle name="Normal 2 2 13 2 2 7" xfId="9912"/>
    <cellStyle name="Normal 2 2 13 2 2 8" xfId="6562"/>
    <cellStyle name="Normal 2 2 13 2 3" xfId="3330"/>
    <cellStyle name="Normal 2 2 13 2 3 2" xfId="4296"/>
    <cellStyle name="Normal 2 2 13 2 3 2 2" xfId="5971"/>
    <cellStyle name="Normal 2 2 13 2 3 2 2 2" xfId="9321"/>
    <cellStyle name="Normal 2 2 13 2 3 2 3" xfId="10996"/>
    <cellStyle name="Normal 2 2 13 2 3 2 4" xfId="7646"/>
    <cellStyle name="Normal 2 2 13 2 3 3" xfId="5004"/>
    <cellStyle name="Normal 2 2 13 2 3 3 2" xfId="8354"/>
    <cellStyle name="Normal 2 2 13 2 3 4" xfId="10029"/>
    <cellStyle name="Normal 2 2 13 2 3 5" xfId="6679"/>
    <cellStyle name="Normal 2 2 13 2 4" xfId="3565"/>
    <cellStyle name="Normal 2 2 13 2 4 2" xfId="4532"/>
    <cellStyle name="Normal 2 2 13 2 4 2 2" xfId="6207"/>
    <cellStyle name="Normal 2 2 13 2 4 2 2 2" xfId="9557"/>
    <cellStyle name="Normal 2 2 13 2 4 2 3" xfId="11232"/>
    <cellStyle name="Normal 2 2 13 2 4 2 4" xfId="7882"/>
    <cellStyle name="Normal 2 2 13 2 4 3" xfId="5240"/>
    <cellStyle name="Normal 2 2 13 2 4 3 2" xfId="8590"/>
    <cellStyle name="Normal 2 2 13 2 4 4" xfId="10265"/>
    <cellStyle name="Normal 2 2 13 2 4 5" xfId="6915"/>
    <cellStyle name="Normal 2 2 13 2 5" xfId="3801"/>
    <cellStyle name="Normal 2 2 13 2 5 2" xfId="5476"/>
    <cellStyle name="Normal 2 2 13 2 5 2 2" xfId="8826"/>
    <cellStyle name="Normal 2 2 13 2 5 3" xfId="10501"/>
    <cellStyle name="Normal 2 2 13 2 5 4" xfId="7151"/>
    <cellStyle name="Normal 2 2 13 2 6" xfId="4060"/>
    <cellStyle name="Normal 2 2 13 2 6 2" xfId="5735"/>
    <cellStyle name="Normal 2 2 13 2 6 2 2" xfId="9085"/>
    <cellStyle name="Normal 2 2 13 2 6 3" xfId="10760"/>
    <cellStyle name="Normal 2 2 13 2 6 4" xfId="7410"/>
    <cellStyle name="Normal 2 2 13 2 7" xfId="4768"/>
    <cellStyle name="Normal 2 2 13 2 7 2" xfId="8118"/>
    <cellStyle name="Normal 2 2 13 2 8" xfId="9793"/>
    <cellStyle name="Normal 2 2 13 2 9" xfId="6443"/>
    <cellStyle name="Normal 2 2 13 3" xfId="3118"/>
    <cellStyle name="Normal 2 2 13 3 2" xfId="3235"/>
    <cellStyle name="Normal 2 2 13 3 2 2" xfId="3471"/>
    <cellStyle name="Normal 2 2 13 3 2 2 2" xfId="4437"/>
    <cellStyle name="Normal 2 2 13 3 2 2 2 2" xfId="6112"/>
    <cellStyle name="Normal 2 2 13 3 2 2 2 2 2" xfId="9462"/>
    <cellStyle name="Normal 2 2 13 3 2 2 2 3" xfId="11137"/>
    <cellStyle name="Normal 2 2 13 3 2 2 2 4" xfId="7787"/>
    <cellStyle name="Normal 2 2 13 3 2 2 3" xfId="5145"/>
    <cellStyle name="Normal 2 2 13 3 2 2 3 2" xfId="8495"/>
    <cellStyle name="Normal 2 2 13 3 2 2 4" xfId="10170"/>
    <cellStyle name="Normal 2 2 13 3 2 2 5" xfId="6820"/>
    <cellStyle name="Normal 2 2 13 3 2 3" xfId="3706"/>
    <cellStyle name="Normal 2 2 13 3 2 3 2" xfId="4673"/>
    <cellStyle name="Normal 2 2 13 3 2 3 2 2" xfId="6348"/>
    <cellStyle name="Normal 2 2 13 3 2 3 2 2 2" xfId="9698"/>
    <cellStyle name="Normal 2 2 13 3 2 3 2 3" xfId="11373"/>
    <cellStyle name="Normal 2 2 13 3 2 3 2 4" xfId="8023"/>
    <cellStyle name="Normal 2 2 13 3 2 3 3" xfId="5381"/>
    <cellStyle name="Normal 2 2 13 3 2 3 3 2" xfId="8731"/>
    <cellStyle name="Normal 2 2 13 3 2 3 4" xfId="10406"/>
    <cellStyle name="Normal 2 2 13 3 2 3 5" xfId="7056"/>
    <cellStyle name="Normal 2 2 13 3 2 4" xfId="3942"/>
    <cellStyle name="Normal 2 2 13 3 2 4 2" xfId="5617"/>
    <cellStyle name="Normal 2 2 13 3 2 4 2 2" xfId="8967"/>
    <cellStyle name="Normal 2 2 13 3 2 4 3" xfId="10642"/>
    <cellStyle name="Normal 2 2 13 3 2 4 4" xfId="7292"/>
    <cellStyle name="Normal 2 2 13 3 2 5" xfId="4201"/>
    <cellStyle name="Normal 2 2 13 3 2 5 2" xfId="5876"/>
    <cellStyle name="Normal 2 2 13 3 2 5 2 2" xfId="9226"/>
    <cellStyle name="Normal 2 2 13 3 2 5 3" xfId="10901"/>
    <cellStyle name="Normal 2 2 13 3 2 5 4" xfId="7551"/>
    <cellStyle name="Normal 2 2 13 3 2 6" xfId="4909"/>
    <cellStyle name="Normal 2 2 13 3 2 6 2" xfId="8259"/>
    <cellStyle name="Normal 2 2 13 3 2 7" xfId="9934"/>
    <cellStyle name="Normal 2 2 13 3 2 8" xfId="6584"/>
    <cellStyle name="Normal 2 2 13 3 3" xfId="3353"/>
    <cellStyle name="Normal 2 2 13 3 3 2" xfId="4319"/>
    <cellStyle name="Normal 2 2 13 3 3 2 2" xfId="5994"/>
    <cellStyle name="Normal 2 2 13 3 3 2 2 2" xfId="9344"/>
    <cellStyle name="Normal 2 2 13 3 3 2 3" xfId="11019"/>
    <cellStyle name="Normal 2 2 13 3 3 2 4" xfId="7669"/>
    <cellStyle name="Normal 2 2 13 3 3 3" xfId="5027"/>
    <cellStyle name="Normal 2 2 13 3 3 3 2" xfId="8377"/>
    <cellStyle name="Normal 2 2 13 3 3 4" xfId="10052"/>
    <cellStyle name="Normal 2 2 13 3 3 5" xfId="6702"/>
    <cellStyle name="Normal 2 2 13 3 4" xfId="3588"/>
    <cellStyle name="Normal 2 2 13 3 4 2" xfId="4555"/>
    <cellStyle name="Normal 2 2 13 3 4 2 2" xfId="6230"/>
    <cellStyle name="Normal 2 2 13 3 4 2 2 2" xfId="9580"/>
    <cellStyle name="Normal 2 2 13 3 4 2 3" xfId="11255"/>
    <cellStyle name="Normal 2 2 13 3 4 2 4" xfId="7905"/>
    <cellStyle name="Normal 2 2 13 3 4 3" xfId="5263"/>
    <cellStyle name="Normal 2 2 13 3 4 3 2" xfId="8613"/>
    <cellStyle name="Normal 2 2 13 3 4 4" xfId="10288"/>
    <cellStyle name="Normal 2 2 13 3 4 5" xfId="6938"/>
    <cellStyle name="Normal 2 2 13 3 5" xfId="3824"/>
    <cellStyle name="Normal 2 2 13 3 5 2" xfId="5499"/>
    <cellStyle name="Normal 2 2 13 3 5 2 2" xfId="8849"/>
    <cellStyle name="Normal 2 2 13 3 5 3" xfId="10524"/>
    <cellStyle name="Normal 2 2 13 3 5 4" xfId="7174"/>
    <cellStyle name="Normal 2 2 13 3 6" xfId="4083"/>
    <cellStyle name="Normal 2 2 13 3 6 2" xfId="5758"/>
    <cellStyle name="Normal 2 2 13 3 6 2 2" xfId="9108"/>
    <cellStyle name="Normal 2 2 13 3 6 3" xfId="10783"/>
    <cellStyle name="Normal 2 2 13 3 6 4" xfId="7433"/>
    <cellStyle name="Normal 2 2 13 3 7" xfId="4791"/>
    <cellStyle name="Normal 2 2 13 3 7 2" xfId="8141"/>
    <cellStyle name="Normal 2 2 13 3 8" xfId="9816"/>
    <cellStyle name="Normal 2 2 13 3 9" xfId="6466"/>
    <cellStyle name="Normal 2 2 13 4" xfId="3141"/>
    <cellStyle name="Normal 2 2 13 4 2" xfId="3259"/>
    <cellStyle name="Normal 2 2 13 4 2 2" xfId="3495"/>
    <cellStyle name="Normal 2 2 13 4 2 2 2" xfId="4461"/>
    <cellStyle name="Normal 2 2 13 4 2 2 2 2" xfId="6136"/>
    <cellStyle name="Normal 2 2 13 4 2 2 2 2 2" xfId="9486"/>
    <cellStyle name="Normal 2 2 13 4 2 2 2 3" xfId="11161"/>
    <cellStyle name="Normal 2 2 13 4 2 2 2 4" xfId="7811"/>
    <cellStyle name="Normal 2 2 13 4 2 2 3" xfId="5169"/>
    <cellStyle name="Normal 2 2 13 4 2 2 3 2" xfId="8519"/>
    <cellStyle name="Normal 2 2 13 4 2 2 4" xfId="10194"/>
    <cellStyle name="Normal 2 2 13 4 2 2 5" xfId="6844"/>
    <cellStyle name="Normal 2 2 13 4 2 3" xfId="3730"/>
    <cellStyle name="Normal 2 2 13 4 2 3 2" xfId="4697"/>
    <cellStyle name="Normal 2 2 13 4 2 3 2 2" xfId="6372"/>
    <cellStyle name="Normal 2 2 13 4 2 3 2 2 2" xfId="9722"/>
    <cellStyle name="Normal 2 2 13 4 2 3 2 3" xfId="11397"/>
    <cellStyle name="Normal 2 2 13 4 2 3 2 4" xfId="8047"/>
    <cellStyle name="Normal 2 2 13 4 2 3 3" xfId="5405"/>
    <cellStyle name="Normal 2 2 13 4 2 3 3 2" xfId="8755"/>
    <cellStyle name="Normal 2 2 13 4 2 3 4" xfId="10430"/>
    <cellStyle name="Normal 2 2 13 4 2 3 5" xfId="7080"/>
    <cellStyle name="Normal 2 2 13 4 2 4" xfId="3966"/>
    <cellStyle name="Normal 2 2 13 4 2 4 2" xfId="5641"/>
    <cellStyle name="Normal 2 2 13 4 2 4 2 2" xfId="8991"/>
    <cellStyle name="Normal 2 2 13 4 2 4 3" xfId="10666"/>
    <cellStyle name="Normal 2 2 13 4 2 4 4" xfId="7316"/>
    <cellStyle name="Normal 2 2 13 4 2 5" xfId="4225"/>
    <cellStyle name="Normal 2 2 13 4 2 5 2" xfId="5900"/>
    <cellStyle name="Normal 2 2 13 4 2 5 2 2" xfId="9250"/>
    <cellStyle name="Normal 2 2 13 4 2 5 3" xfId="10925"/>
    <cellStyle name="Normal 2 2 13 4 2 5 4" xfId="7575"/>
    <cellStyle name="Normal 2 2 13 4 2 6" xfId="4933"/>
    <cellStyle name="Normal 2 2 13 4 2 6 2" xfId="8283"/>
    <cellStyle name="Normal 2 2 13 4 2 7" xfId="9958"/>
    <cellStyle name="Normal 2 2 13 4 2 8" xfId="6608"/>
    <cellStyle name="Normal 2 2 13 4 3" xfId="3377"/>
    <cellStyle name="Normal 2 2 13 4 3 2" xfId="4343"/>
    <cellStyle name="Normal 2 2 13 4 3 2 2" xfId="6018"/>
    <cellStyle name="Normal 2 2 13 4 3 2 2 2" xfId="9368"/>
    <cellStyle name="Normal 2 2 13 4 3 2 3" xfId="11043"/>
    <cellStyle name="Normal 2 2 13 4 3 2 4" xfId="7693"/>
    <cellStyle name="Normal 2 2 13 4 3 3" xfId="5051"/>
    <cellStyle name="Normal 2 2 13 4 3 3 2" xfId="8401"/>
    <cellStyle name="Normal 2 2 13 4 3 4" xfId="10076"/>
    <cellStyle name="Normal 2 2 13 4 3 5" xfId="6726"/>
    <cellStyle name="Normal 2 2 13 4 4" xfId="3612"/>
    <cellStyle name="Normal 2 2 13 4 4 2" xfId="4579"/>
    <cellStyle name="Normal 2 2 13 4 4 2 2" xfId="6254"/>
    <cellStyle name="Normal 2 2 13 4 4 2 2 2" xfId="9604"/>
    <cellStyle name="Normal 2 2 13 4 4 2 3" xfId="11279"/>
    <cellStyle name="Normal 2 2 13 4 4 2 4" xfId="7929"/>
    <cellStyle name="Normal 2 2 13 4 4 3" xfId="5287"/>
    <cellStyle name="Normal 2 2 13 4 4 3 2" xfId="8637"/>
    <cellStyle name="Normal 2 2 13 4 4 4" xfId="10312"/>
    <cellStyle name="Normal 2 2 13 4 4 5" xfId="6962"/>
    <cellStyle name="Normal 2 2 13 4 5" xfId="3848"/>
    <cellStyle name="Normal 2 2 13 4 5 2" xfId="5523"/>
    <cellStyle name="Normal 2 2 13 4 5 2 2" xfId="8873"/>
    <cellStyle name="Normal 2 2 13 4 5 3" xfId="10548"/>
    <cellStyle name="Normal 2 2 13 4 5 4" xfId="7198"/>
    <cellStyle name="Normal 2 2 13 4 6" xfId="4107"/>
    <cellStyle name="Normal 2 2 13 4 6 2" xfId="5782"/>
    <cellStyle name="Normal 2 2 13 4 6 2 2" xfId="9132"/>
    <cellStyle name="Normal 2 2 13 4 6 3" xfId="10807"/>
    <cellStyle name="Normal 2 2 13 4 6 4" xfId="7457"/>
    <cellStyle name="Normal 2 2 13 4 7" xfId="4815"/>
    <cellStyle name="Normal 2 2 13 4 7 2" xfId="8165"/>
    <cellStyle name="Normal 2 2 13 4 8" xfId="9840"/>
    <cellStyle name="Normal 2 2 13 4 9" xfId="6490"/>
    <cellStyle name="Normal 2 2 13 5" xfId="3165"/>
    <cellStyle name="Normal 2 2 13 5 2" xfId="3283"/>
    <cellStyle name="Normal 2 2 13 5 2 2" xfId="3519"/>
    <cellStyle name="Normal 2 2 13 5 2 2 2" xfId="4485"/>
    <cellStyle name="Normal 2 2 13 5 2 2 2 2" xfId="6160"/>
    <cellStyle name="Normal 2 2 13 5 2 2 2 2 2" xfId="9510"/>
    <cellStyle name="Normal 2 2 13 5 2 2 2 3" xfId="11185"/>
    <cellStyle name="Normal 2 2 13 5 2 2 2 4" xfId="7835"/>
    <cellStyle name="Normal 2 2 13 5 2 2 3" xfId="5193"/>
    <cellStyle name="Normal 2 2 13 5 2 2 3 2" xfId="8543"/>
    <cellStyle name="Normal 2 2 13 5 2 2 4" xfId="10218"/>
    <cellStyle name="Normal 2 2 13 5 2 2 5" xfId="6868"/>
    <cellStyle name="Normal 2 2 13 5 2 3" xfId="3754"/>
    <cellStyle name="Normal 2 2 13 5 2 3 2" xfId="4721"/>
    <cellStyle name="Normal 2 2 13 5 2 3 2 2" xfId="6396"/>
    <cellStyle name="Normal 2 2 13 5 2 3 2 2 2" xfId="9746"/>
    <cellStyle name="Normal 2 2 13 5 2 3 2 3" xfId="11421"/>
    <cellStyle name="Normal 2 2 13 5 2 3 2 4" xfId="8071"/>
    <cellStyle name="Normal 2 2 13 5 2 3 3" xfId="5429"/>
    <cellStyle name="Normal 2 2 13 5 2 3 3 2" xfId="8779"/>
    <cellStyle name="Normal 2 2 13 5 2 3 4" xfId="10454"/>
    <cellStyle name="Normal 2 2 13 5 2 3 5" xfId="7104"/>
    <cellStyle name="Normal 2 2 13 5 2 4" xfId="3990"/>
    <cellStyle name="Normal 2 2 13 5 2 4 2" xfId="5665"/>
    <cellStyle name="Normal 2 2 13 5 2 4 2 2" xfId="9015"/>
    <cellStyle name="Normal 2 2 13 5 2 4 3" xfId="10690"/>
    <cellStyle name="Normal 2 2 13 5 2 4 4" xfId="7340"/>
    <cellStyle name="Normal 2 2 13 5 2 5" xfId="4249"/>
    <cellStyle name="Normal 2 2 13 5 2 5 2" xfId="5924"/>
    <cellStyle name="Normal 2 2 13 5 2 5 2 2" xfId="9274"/>
    <cellStyle name="Normal 2 2 13 5 2 5 3" xfId="10949"/>
    <cellStyle name="Normal 2 2 13 5 2 5 4" xfId="7599"/>
    <cellStyle name="Normal 2 2 13 5 2 6" xfId="4957"/>
    <cellStyle name="Normal 2 2 13 5 2 6 2" xfId="8307"/>
    <cellStyle name="Normal 2 2 13 5 2 7" xfId="9982"/>
    <cellStyle name="Normal 2 2 13 5 2 8" xfId="6632"/>
    <cellStyle name="Normal 2 2 13 5 3" xfId="3401"/>
    <cellStyle name="Normal 2 2 13 5 3 2" xfId="4367"/>
    <cellStyle name="Normal 2 2 13 5 3 2 2" xfId="6042"/>
    <cellStyle name="Normal 2 2 13 5 3 2 2 2" xfId="9392"/>
    <cellStyle name="Normal 2 2 13 5 3 2 3" xfId="11067"/>
    <cellStyle name="Normal 2 2 13 5 3 2 4" xfId="7717"/>
    <cellStyle name="Normal 2 2 13 5 3 3" xfId="5075"/>
    <cellStyle name="Normal 2 2 13 5 3 3 2" xfId="8425"/>
    <cellStyle name="Normal 2 2 13 5 3 4" xfId="10100"/>
    <cellStyle name="Normal 2 2 13 5 3 5" xfId="6750"/>
    <cellStyle name="Normal 2 2 13 5 4" xfId="3636"/>
    <cellStyle name="Normal 2 2 13 5 4 2" xfId="4603"/>
    <cellStyle name="Normal 2 2 13 5 4 2 2" xfId="6278"/>
    <cellStyle name="Normal 2 2 13 5 4 2 2 2" xfId="9628"/>
    <cellStyle name="Normal 2 2 13 5 4 2 3" xfId="11303"/>
    <cellStyle name="Normal 2 2 13 5 4 2 4" xfId="7953"/>
    <cellStyle name="Normal 2 2 13 5 4 3" xfId="5311"/>
    <cellStyle name="Normal 2 2 13 5 4 3 2" xfId="8661"/>
    <cellStyle name="Normal 2 2 13 5 4 4" xfId="10336"/>
    <cellStyle name="Normal 2 2 13 5 4 5" xfId="6986"/>
    <cellStyle name="Normal 2 2 13 5 5" xfId="3872"/>
    <cellStyle name="Normal 2 2 13 5 5 2" xfId="5547"/>
    <cellStyle name="Normal 2 2 13 5 5 2 2" xfId="8897"/>
    <cellStyle name="Normal 2 2 13 5 5 3" xfId="10572"/>
    <cellStyle name="Normal 2 2 13 5 5 4" xfId="7222"/>
    <cellStyle name="Normal 2 2 13 5 6" xfId="4131"/>
    <cellStyle name="Normal 2 2 13 5 6 2" xfId="5806"/>
    <cellStyle name="Normal 2 2 13 5 6 2 2" xfId="9156"/>
    <cellStyle name="Normal 2 2 13 5 6 3" xfId="10831"/>
    <cellStyle name="Normal 2 2 13 5 6 4" xfId="7481"/>
    <cellStyle name="Normal 2 2 13 5 7" xfId="4839"/>
    <cellStyle name="Normal 2 2 13 5 7 2" xfId="8189"/>
    <cellStyle name="Normal 2 2 13 5 8" xfId="9864"/>
    <cellStyle name="Normal 2 2 13 5 9" xfId="6514"/>
    <cellStyle name="Normal 2 2 13 6" xfId="3189"/>
    <cellStyle name="Normal 2 2 13 6 2" xfId="3425"/>
    <cellStyle name="Normal 2 2 13 6 2 2" xfId="4391"/>
    <cellStyle name="Normal 2 2 13 6 2 2 2" xfId="6066"/>
    <cellStyle name="Normal 2 2 13 6 2 2 2 2" xfId="9416"/>
    <cellStyle name="Normal 2 2 13 6 2 2 3" xfId="11091"/>
    <cellStyle name="Normal 2 2 13 6 2 2 4" xfId="7741"/>
    <cellStyle name="Normal 2 2 13 6 2 3" xfId="5099"/>
    <cellStyle name="Normal 2 2 13 6 2 3 2" xfId="8449"/>
    <cellStyle name="Normal 2 2 13 6 2 4" xfId="10124"/>
    <cellStyle name="Normal 2 2 13 6 2 5" xfId="6774"/>
    <cellStyle name="Normal 2 2 13 6 3" xfId="3660"/>
    <cellStyle name="Normal 2 2 13 6 3 2" xfId="4627"/>
    <cellStyle name="Normal 2 2 13 6 3 2 2" xfId="6302"/>
    <cellStyle name="Normal 2 2 13 6 3 2 2 2" xfId="9652"/>
    <cellStyle name="Normal 2 2 13 6 3 2 3" xfId="11327"/>
    <cellStyle name="Normal 2 2 13 6 3 2 4" xfId="7977"/>
    <cellStyle name="Normal 2 2 13 6 3 3" xfId="5335"/>
    <cellStyle name="Normal 2 2 13 6 3 3 2" xfId="8685"/>
    <cellStyle name="Normal 2 2 13 6 3 4" xfId="10360"/>
    <cellStyle name="Normal 2 2 13 6 3 5" xfId="7010"/>
    <cellStyle name="Normal 2 2 13 6 4" xfId="3896"/>
    <cellStyle name="Normal 2 2 13 6 4 2" xfId="5571"/>
    <cellStyle name="Normal 2 2 13 6 4 2 2" xfId="8921"/>
    <cellStyle name="Normal 2 2 13 6 4 3" xfId="10596"/>
    <cellStyle name="Normal 2 2 13 6 4 4" xfId="7246"/>
    <cellStyle name="Normal 2 2 13 6 5" xfId="4155"/>
    <cellStyle name="Normal 2 2 13 6 5 2" xfId="5830"/>
    <cellStyle name="Normal 2 2 13 6 5 2 2" xfId="9180"/>
    <cellStyle name="Normal 2 2 13 6 5 3" xfId="10855"/>
    <cellStyle name="Normal 2 2 13 6 5 4" xfId="7505"/>
    <cellStyle name="Normal 2 2 13 6 6" xfId="4863"/>
    <cellStyle name="Normal 2 2 13 6 6 2" xfId="8213"/>
    <cellStyle name="Normal 2 2 13 6 7" xfId="9888"/>
    <cellStyle name="Normal 2 2 13 6 8" xfId="6538"/>
    <cellStyle name="Normal 2 2 13 7" xfId="3307"/>
    <cellStyle name="Normal 2 2 13 7 2" xfId="4273"/>
    <cellStyle name="Normal 2 2 13 7 2 2" xfId="5948"/>
    <cellStyle name="Normal 2 2 13 7 2 2 2" xfId="9298"/>
    <cellStyle name="Normal 2 2 13 7 2 3" xfId="10973"/>
    <cellStyle name="Normal 2 2 13 7 2 4" xfId="7623"/>
    <cellStyle name="Normal 2 2 13 7 3" xfId="4981"/>
    <cellStyle name="Normal 2 2 13 7 3 2" xfId="8331"/>
    <cellStyle name="Normal 2 2 13 7 4" xfId="10006"/>
    <cellStyle name="Normal 2 2 13 7 5" xfId="6656"/>
    <cellStyle name="Normal 2 2 13 8" xfId="3543"/>
    <cellStyle name="Normal 2 2 13 8 2" xfId="4509"/>
    <cellStyle name="Normal 2 2 13 8 2 2" xfId="6184"/>
    <cellStyle name="Normal 2 2 13 8 2 2 2" xfId="9534"/>
    <cellStyle name="Normal 2 2 13 8 2 3" xfId="11209"/>
    <cellStyle name="Normal 2 2 13 8 2 4" xfId="7859"/>
    <cellStyle name="Normal 2 2 13 8 3" xfId="5217"/>
    <cellStyle name="Normal 2 2 13 8 3 2" xfId="8567"/>
    <cellStyle name="Normal 2 2 13 8 4" xfId="10242"/>
    <cellStyle name="Normal 2 2 13 8 5" xfId="6892"/>
    <cellStyle name="Normal 2 2 13 9" xfId="3778"/>
    <cellStyle name="Normal 2 2 13 9 2" xfId="4037"/>
    <cellStyle name="Normal 2 2 13 9 2 2" xfId="5712"/>
    <cellStyle name="Normal 2 2 13 9 2 2 2" xfId="9062"/>
    <cellStyle name="Normal 2 2 13 9 2 3" xfId="10737"/>
    <cellStyle name="Normal 2 2 13 9 2 4" xfId="7387"/>
    <cellStyle name="Normal 2 2 13 9 3" xfId="5453"/>
    <cellStyle name="Normal 2 2 13 9 3 2" xfId="8803"/>
    <cellStyle name="Normal 2 2 13 9 4" xfId="10478"/>
    <cellStyle name="Normal 2 2 13 9 5" xfId="7128"/>
    <cellStyle name="Normal 2 2 14" xfId="2097"/>
    <cellStyle name="Normal 2 2 14 2" xfId="2419"/>
    <cellStyle name="Normal 2 2 2" xfId="31"/>
    <cellStyle name="Normal 2 2 2 2" xfId="56"/>
    <cellStyle name="Normal 2 2 2 2 2" xfId="2099"/>
    <cellStyle name="Normal 2 2 2 2 2 2" xfId="2100"/>
    <cellStyle name="Normal 2 2 2 2 3" xfId="2098"/>
    <cellStyle name="Normal 2 2 2 3" xfId="25"/>
    <cellStyle name="Normal 2 2 2 3 2" xfId="2101"/>
    <cellStyle name="Normal 2 2 2 3 2 2" xfId="2420"/>
    <cellStyle name="Normal 2 2 2 3 2 3" xfId="2637"/>
    <cellStyle name="Normal 2 2 2 3 3" xfId="2421"/>
    <cellStyle name="Normal 2 2 2 3 4" xfId="285"/>
    <cellStyle name="Normal 2 2 2 4" xfId="284"/>
    <cellStyle name="Normal 2 2 2 4 2" xfId="2102"/>
    <cellStyle name="Normal 2 2 2 4 2 2" xfId="2638"/>
    <cellStyle name="Normal 2 2 2 5" xfId="356"/>
    <cellStyle name="Normal 2 2 2 6" xfId="12079"/>
    <cellStyle name="Normal 2 2 3" xfId="286"/>
    <cellStyle name="Normal 2 2 3 2" xfId="2740"/>
    <cellStyle name="Normal 2 2 3 3" xfId="12080"/>
    <cellStyle name="Normal 2 2 4" xfId="287"/>
    <cellStyle name="Normal 2 2 4 2" xfId="12081"/>
    <cellStyle name="Normal 2 2 5" xfId="288"/>
    <cellStyle name="Normal 2 2 5 2" xfId="2104"/>
    <cellStyle name="Normal 2 2 5 3" xfId="2105"/>
    <cellStyle name="Normal 2 2 5 3 2" xfId="2639"/>
    <cellStyle name="Normal 2 2 5 3 2 2" xfId="2839"/>
    <cellStyle name="Normal 2 2 5 3 3" xfId="2800"/>
    <cellStyle name="Normal 2 2 5 4" xfId="2103"/>
    <cellStyle name="Normal 2 2 5 4 2" xfId="2640"/>
    <cellStyle name="Normal 2 2 6" xfId="9"/>
    <cellStyle name="Normal 2 2 6 2" xfId="41"/>
    <cellStyle name="Normal 2 2 6 2 2" xfId="12290"/>
    <cellStyle name="Normal 2 2 6 3" xfId="2106"/>
    <cellStyle name="Normal 2 2 6 4" xfId="12082"/>
    <cellStyle name="Normal 2 2 7" xfId="50"/>
    <cellStyle name="Normal 2 2 8" xfId="2107"/>
    <cellStyle name="Normal 2 2 8 10" xfId="3549"/>
    <cellStyle name="Normal 2 2 8 10 2" xfId="4516"/>
    <cellStyle name="Normal 2 2 8 10 2 2" xfId="6191"/>
    <cellStyle name="Normal 2 2 8 10 2 2 2" xfId="9541"/>
    <cellStyle name="Normal 2 2 8 10 2 3" xfId="11216"/>
    <cellStyle name="Normal 2 2 8 10 2 4" xfId="7866"/>
    <cellStyle name="Normal 2 2 8 10 3" xfId="5224"/>
    <cellStyle name="Normal 2 2 8 10 3 2" xfId="8574"/>
    <cellStyle name="Normal 2 2 8 10 4" xfId="10249"/>
    <cellStyle name="Normal 2 2 8 10 5" xfId="6899"/>
    <cellStyle name="Normal 2 2 8 11" xfId="3785"/>
    <cellStyle name="Normal 2 2 8 11 2" xfId="4044"/>
    <cellStyle name="Normal 2 2 8 11 2 2" xfId="5719"/>
    <cellStyle name="Normal 2 2 8 11 2 2 2" xfId="9069"/>
    <cellStyle name="Normal 2 2 8 11 2 3" xfId="10744"/>
    <cellStyle name="Normal 2 2 8 11 2 4" xfId="7394"/>
    <cellStyle name="Normal 2 2 8 11 3" xfId="5460"/>
    <cellStyle name="Normal 2 2 8 11 3 2" xfId="8810"/>
    <cellStyle name="Normal 2 2 8 11 4" xfId="10485"/>
    <cellStyle name="Normal 2 2 8 11 5" xfId="7135"/>
    <cellStyle name="Normal 2 2 8 12" xfId="4021"/>
    <cellStyle name="Normal 2 2 8 12 2" xfId="5696"/>
    <cellStyle name="Normal 2 2 8 12 2 2" xfId="9046"/>
    <cellStyle name="Normal 2 2 8 12 3" xfId="10721"/>
    <cellStyle name="Normal 2 2 8 12 4" xfId="7371"/>
    <cellStyle name="Normal 2 2 8 13" xfId="4752"/>
    <cellStyle name="Normal 2 2 8 13 2" xfId="8102"/>
    <cellStyle name="Normal 2 2 8 14" xfId="9777"/>
    <cellStyle name="Normal 2 2 8 15" xfId="6427"/>
    <cellStyle name="Normal 2 2 8 16" xfId="12234"/>
    <cellStyle name="Normal 2 2 8 2" xfId="2108"/>
    <cellStyle name="Normal 2 2 8 2 2" xfId="2109"/>
    <cellStyle name="Normal 2 2 8 2 2 10" xfId="4022"/>
    <cellStyle name="Normal 2 2 8 2 2 10 2" xfId="5697"/>
    <cellStyle name="Normal 2 2 8 2 2 10 2 2" xfId="9047"/>
    <cellStyle name="Normal 2 2 8 2 2 10 3" xfId="10722"/>
    <cellStyle name="Normal 2 2 8 2 2 10 4" xfId="7372"/>
    <cellStyle name="Normal 2 2 8 2 2 11" xfId="4753"/>
    <cellStyle name="Normal 2 2 8 2 2 11 2" xfId="8103"/>
    <cellStyle name="Normal 2 2 8 2 2 12" xfId="9778"/>
    <cellStyle name="Normal 2 2 8 2 2 13" xfId="6428"/>
    <cellStyle name="Normal 2 2 8 2 2 14" xfId="12235"/>
    <cellStyle name="Normal 2 2 8 2 2 2" xfId="3103"/>
    <cellStyle name="Normal 2 2 8 2 2 2 2" xfId="3220"/>
    <cellStyle name="Normal 2 2 8 2 2 2 2 2" xfId="3456"/>
    <cellStyle name="Normal 2 2 8 2 2 2 2 2 2" xfId="4422"/>
    <cellStyle name="Normal 2 2 8 2 2 2 2 2 2 2" xfId="6097"/>
    <cellStyle name="Normal 2 2 8 2 2 2 2 2 2 2 2" xfId="9447"/>
    <cellStyle name="Normal 2 2 8 2 2 2 2 2 2 3" xfId="11122"/>
    <cellStyle name="Normal 2 2 8 2 2 2 2 2 2 4" xfId="7772"/>
    <cellStyle name="Normal 2 2 8 2 2 2 2 2 3" xfId="5130"/>
    <cellStyle name="Normal 2 2 8 2 2 2 2 2 3 2" xfId="8480"/>
    <cellStyle name="Normal 2 2 8 2 2 2 2 2 4" xfId="10155"/>
    <cellStyle name="Normal 2 2 8 2 2 2 2 2 5" xfId="6805"/>
    <cellStyle name="Normal 2 2 8 2 2 2 2 3" xfId="3691"/>
    <cellStyle name="Normal 2 2 8 2 2 2 2 3 2" xfId="4658"/>
    <cellStyle name="Normal 2 2 8 2 2 2 2 3 2 2" xfId="6333"/>
    <cellStyle name="Normal 2 2 8 2 2 2 2 3 2 2 2" xfId="9683"/>
    <cellStyle name="Normal 2 2 8 2 2 2 2 3 2 3" xfId="11358"/>
    <cellStyle name="Normal 2 2 8 2 2 2 2 3 2 4" xfId="8008"/>
    <cellStyle name="Normal 2 2 8 2 2 2 2 3 3" xfId="5366"/>
    <cellStyle name="Normal 2 2 8 2 2 2 2 3 3 2" xfId="8716"/>
    <cellStyle name="Normal 2 2 8 2 2 2 2 3 4" xfId="10391"/>
    <cellStyle name="Normal 2 2 8 2 2 2 2 3 5" xfId="7041"/>
    <cellStyle name="Normal 2 2 8 2 2 2 2 4" xfId="3927"/>
    <cellStyle name="Normal 2 2 8 2 2 2 2 4 2" xfId="5602"/>
    <cellStyle name="Normal 2 2 8 2 2 2 2 4 2 2" xfId="8952"/>
    <cellStyle name="Normal 2 2 8 2 2 2 2 4 3" xfId="10627"/>
    <cellStyle name="Normal 2 2 8 2 2 2 2 4 4" xfId="7277"/>
    <cellStyle name="Normal 2 2 8 2 2 2 2 5" xfId="4186"/>
    <cellStyle name="Normal 2 2 8 2 2 2 2 5 2" xfId="5861"/>
    <cellStyle name="Normal 2 2 8 2 2 2 2 5 2 2" xfId="9211"/>
    <cellStyle name="Normal 2 2 8 2 2 2 2 5 3" xfId="10886"/>
    <cellStyle name="Normal 2 2 8 2 2 2 2 5 4" xfId="7536"/>
    <cellStyle name="Normal 2 2 8 2 2 2 2 6" xfId="4894"/>
    <cellStyle name="Normal 2 2 8 2 2 2 2 6 2" xfId="8244"/>
    <cellStyle name="Normal 2 2 8 2 2 2 2 7" xfId="9919"/>
    <cellStyle name="Normal 2 2 8 2 2 2 2 8" xfId="6569"/>
    <cellStyle name="Normal 2 2 8 2 2 2 3" xfId="3338"/>
    <cellStyle name="Normal 2 2 8 2 2 2 3 2" xfId="4304"/>
    <cellStyle name="Normal 2 2 8 2 2 2 3 2 2" xfId="5979"/>
    <cellStyle name="Normal 2 2 8 2 2 2 3 2 2 2" xfId="9329"/>
    <cellStyle name="Normal 2 2 8 2 2 2 3 2 3" xfId="11004"/>
    <cellStyle name="Normal 2 2 8 2 2 2 3 2 4" xfId="7654"/>
    <cellStyle name="Normal 2 2 8 2 2 2 3 3" xfId="5012"/>
    <cellStyle name="Normal 2 2 8 2 2 2 3 3 2" xfId="8362"/>
    <cellStyle name="Normal 2 2 8 2 2 2 3 4" xfId="10037"/>
    <cellStyle name="Normal 2 2 8 2 2 2 3 5" xfId="6687"/>
    <cellStyle name="Normal 2 2 8 2 2 2 4" xfId="3573"/>
    <cellStyle name="Normal 2 2 8 2 2 2 4 2" xfId="4540"/>
    <cellStyle name="Normal 2 2 8 2 2 2 4 2 2" xfId="6215"/>
    <cellStyle name="Normal 2 2 8 2 2 2 4 2 2 2" xfId="9565"/>
    <cellStyle name="Normal 2 2 8 2 2 2 4 2 3" xfId="11240"/>
    <cellStyle name="Normal 2 2 8 2 2 2 4 2 4" xfId="7890"/>
    <cellStyle name="Normal 2 2 8 2 2 2 4 3" xfId="5248"/>
    <cellStyle name="Normal 2 2 8 2 2 2 4 3 2" xfId="8598"/>
    <cellStyle name="Normal 2 2 8 2 2 2 4 4" xfId="10273"/>
    <cellStyle name="Normal 2 2 8 2 2 2 4 5" xfId="6923"/>
    <cellStyle name="Normal 2 2 8 2 2 2 5" xfId="3809"/>
    <cellStyle name="Normal 2 2 8 2 2 2 5 2" xfId="5484"/>
    <cellStyle name="Normal 2 2 8 2 2 2 5 2 2" xfId="8834"/>
    <cellStyle name="Normal 2 2 8 2 2 2 5 3" xfId="10509"/>
    <cellStyle name="Normal 2 2 8 2 2 2 5 4" xfId="7159"/>
    <cellStyle name="Normal 2 2 8 2 2 2 6" xfId="4068"/>
    <cellStyle name="Normal 2 2 8 2 2 2 6 2" xfId="5743"/>
    <cellStyle name="Normal 2 2 8 2 2 2 6 2 2" xfId="9093"/>
    <cellStyle name="Normal 2 2 8 2 2 2 6 3" xfId="10768"/>
    <cellStyle name="Normal 2 2 8 2 2 2 6 4" xfId="7418"/>
    <cellStyle name="Normal 2 2 8 2 2 2 7" xfId="4776"/>
    <cellStyle name="Normal 2 2 8 2 2 2 7 2" xfId="8126"/>
    <cellStyle name="Normal 2 2 8 2 2 2 8" xfId="9801"/>
    <cellStyle name="Normal 2 2 8 2 2 2 9" xfId="6451"/>
    <cellStyle name="Normal 2 2 8 2 2 3" xfId="3126"/>
    <cellStyle name="Normal 2 2 8 2 2 3 2" xfId="3243"/>
    <cellStyle name="Normal 2 2 8 2 2 3 2 2" xfId="3479"/>
    <cellStyle name="Normal 2 2 8 2 2 3 2 2 2" xfId="4445"/>
    <cellStyle name="Normal 2 2 8 2 2 3 2 2 2 2" xfId="6120"/>
    <cellStyle name="Normal 2 2 8 2 2 3 2 2 2 2 2" xfId="9470"/>
    <cellStyle name="Normal 2 2 8 2 2 3 2 2 2 3" xfId="11145"/>
    <cellStyle name="Normal 2 2 8 2 2 3 2 2 2 4" xfId="7795"/>
    <cellStyle name="Normal 2 2 8 2 2 3 2 2 3" xfId="5153"/>
    <cellStyle name="Normal 2 2 8 2 2 3 2 2 3 2" xfId="8503"/>
    <cellStyle name="Normal 2 2 8 2 2 3 2 2 4" xfId="10178"/>
    <cellStyle name="Normal 2 2 8 2 2 3 2 2 5" xfId="6828"/>
    <cellStyle name="Normal 2 2 8 2 2 3 2 3" xfId="3714"/>
    <cellStyle name="Normal 2 2 8 2 2 3 2 3 2" xfId="4681"/>
    <cellStyle name="Normal 2 2 8 2 2 3 2 3 2 2" xfId="6356"/>
    <cellStyle name="Normal 2 2 8 2 2 3 2 3 2 2 2" xfId="9706"/>
    <cellStyle name="Normal 2 2 8 2 2 3 2 3 2 3" xfId="11381"/>
    <cellStyle name="Normal 2 2 8 2 2 3 2 3 2 4" xfId="8031"/>
    <cellStyle name="Normal 2 2 8 2 2 3 2 3 3" xfId="5389"/>
    <cellStyle name="Normal 2 2 8 2 2 3 2 3 3 2" xfId="8739"/>
    <cellStyle name="Normal 2 2 8 2 2 3 2 3 4" xfId="10414"/>
    <cellStyle name="Normal 2 2 8 2 2 3 2 3 5" xfId="7064"/>
    <cellStyle name="Normal 2 2 8 2 2 3 2 4" xfId="3950"/>
    <cellStyle name="Normal 2 2 8 2 2 3 2 4 2" xfId="5625"/>
    <cellStyle name="Normal 2 2 8 2 2 3 2 4 2 2" xfId="8975"/>
    <cellStyle name="Normal 2 2 8 2 2 3 2 4 3" xfId="10650"/>
    <cellStyle name="Normal 2 2 8 2 2 3 2 4 4" xfId="7300"/>
    <cellStyle name="Normal 2 2 8 2 2 3 2 5" xfId="4209"/>
    <cellStyle name="Normal 2 2 8 2 2 3 2 5 2" xfId="5884"/>
    <cellStyle name="Normal 2 2 8 2 2 3 2 5 2 2" xfId="9234"/>
    <cellStyle name="Normal 2 2 8 2 2 3 2 5 3" xfId="10909"/>
    <cellStyle name="Normal 2 2 8 2 2 3 2 5 4" xfId="7559"/>
    <cellStyle name="Normal 2 2 8 2 2 3 2 6" xfId="4917"/>
    <cellStyle name="Normal 2 2 8 2 2 3 2 6 2" xfId="8267"/>
    <cellStyle name="Normal 2 2 8 2 2 3 2 7" xfId="9942"/>
    <cellStyle name="Normal 2 2 8 2 2 3 2 8" xfId="6592"/>
    <cellStyle name="Normal 2 2 8 2 2 3 3" xfId="3361"/>
    <cellStyle name="Normal 2 2 8 2 2 3 3 2" xfId="4327"/>
    <cellStyle name="Normal 2 2 8 2 2 3 3 2 2" xfId="6002"/>
    <cellStyle name="Normal 2 2 8 2 2 3 3 2 2 2" xfId="9352"/>
    <cellStyle name="Normal 2 2 8 2 2 3 3 2 3" xfId="11027"/>
    <cellStyle name="Normal 2 2 8 2 2 3 3 2 4" xfId="7677"/>
    <cellStyle name="Normal 2 2 8 2 2 3 3 3" xfId="5035"/>
    <cellStyle name="Normal 2 2 8 2 2 3 3 3 2" xfId="8385"/>
    <cellStyle name="Normal 2 2 8 2 2 3 3 4" xfId="10060"/>
    <cellStyle name="Normal 2 2 8 2 2 3 3 5" xfId="6710"/>
    <cellStyle name="Normal 2 2 8 2 2 3 4" xfId="3596"/>
    <cellStyle name="Normal 2 2 8 2 2 3 4 2" xfId="4563"/>
    <cellStyle name="Normal 2 2 8 2 2 3 4 2 2" xfId="6238"/>
    <cellStyle name="Normal 2 2 8 2 2 3 4 2 2 2" xfId="9588"/>
    <cellStyle name="Normal 2 2 8 2 2 3 4 2 3" xfId="11263"/>
    <cellStyle name="Normal 2 2 8 2 2 3 4 2 4" xfId="7913"/>
    <cellStyle name="Normal 2 2 8 2 2 3 4 3" xfId="5271"/>
    <cellStyle name="Normal 2 2 8 2 2 3 4 3 2" xfId="8621"/>
    <cellStyle name="Normal 2 2 8 2 2 3 4 4" xfId="10296"/>
    <cellStyle name="Normal 2 2 8 2 2 3 4 5" xfId="6946"/>
    <cellStyle name="Normal 2 2 8 2 2 3 5" xfId="3832"/>
    <cellStyle name="Normal 2 2 8 2 2 3 5 2" xfId="5507"/>
    <cellStyle name="Normal 2 2 8 2 2 3 5 2 2" xfId="8857"/>
    <cellStyle name="Normal 2 2 8 2 2 3 5 3" xfId="10532"/>
    <cellStyle name="Normal 2 2 8 2 2 3 5 4" xfId="7182"/>
    <cellStyle name="Normal 2 2 8 2 2 3 6" xfId="4091"/>
    <cellStyle name="Normal 2 2 8 2 2 3 6 2" xfId="5766"/>
    <cellStyle name="Normal 2 2 8 2 2 3 6 2 2" xfId="9116"/>
    <cellStyle name="Normal 2 2 8 2 2 3 6 3" xfId="10791"/>
    <cellStyle name="Normal 2 2 8 2 2 3 6 4" xfId="7441"/>
    <cellStyle name="Normal 2 2 8 2 2 3 7" xfId="4799"/>
    <cellStyle name="Normal 2 2 8 2 2 3 7 2" xfId="8149"/>
    <cellStyle name="Normal 2 2 8 2 2 3 8" xfId="9824"/>
    <cellStyle name="Normal 2 2 8 2 2 3 9" xfId="6474"/>
    <cellStyle name="Normal 2 2 8 2 2 4" xfId="3149"/>
    <cellStyle name="Normal 2 2 8 2 2 4 2" xfId="3267"/>
    <cellStyle name="Normal 2 2 8 2 2 4 2 2" xfId="3503"/>
    <cellStyle name="Normal 2 2 8 2 2 4 2 2 2" xfId="4469"/>
    <cellStyle name="Normal 2 2 8 2 2 4 2 2 2 2" xfId="6144"/>
    <cellStyle name="Normal 2 2 8 2 2 4 2 2 2 2 2" xfId="9494"/>
    <cellStyle name="Normal 2 2 8 2 2 4 2 2 2 3" xfId="11169"/>
    <cellStyle name="Normal 2 2 8 2 2 4 2 2 2 4" xfId="7819"/>
    <cellStyle name="Normal 2 2 8 2 2 4 2 2 3" xfId="5177"/>
    <cellStyle name="Normal 2 2 8 2 2 4 2 2 3 2" xfId="8527"/>
    <cellStyle name="Normal 2 2 8 2 2 4 2 2 4" xfId="10202"/>
    <cellStyle name="Normal 2 2 8 2 2 4 2 2 5" xfId="6852"/>
    <cellStyle name="Normal 2 2 8 2 2 4 2 3" xfId="3738"/>
    <cellStyle name="Normal 2 2 8 2 2 4 2 3 2" xfId="4705"/>
    <cellStyle name="Normal 2 2 8 2 2 4 2 3 2 2" xfId="6380"/>
    <cellStyle name="Normal 2 2 8 2 2 4 2 3 2 2 2" xfId="9730"/>
    <cellStyle name="Normal 2 2 8 2 2 4 2 3 2 3" xfId="11405"/>
    <cellStyle name="Normal 2 2 8 2 2 4 2 3 2 4" xfId="8055"/>
    <cellStyle name="Normal 2 2 8 2 2 4 2 3 3" xfId="5413"/>
    <cellStyle name="Normal 2 2 8 2 2 4 2 3 3 2" xfId="8763"/>
    <cellStyle name="Normal 2 2 8 2 2 4 2 3 4" xfId="10438"/>
    <cellStyle name="Normal 2 2 8 2 2 4 2 3 5" xfId="7088"/>
    <cellStyle name="Normal 2 2 8 2 2 4 2 4" xfId="3974"/>
    <cellStyle name="Normal 2 2 8 2 2 4 2 4 2" xfId="5649"/>
    <cellStyle name="Normal 2 2 8 2 2 4 2 4 2 2" xfId="8999"/>
    <cellStyle name="Normal 2 2 8 2 2 4 2 4 3" xfId="10674"/>
    <cellStyle name="Normal 2 2 8 2 2 4 2 4 4" xfId="7324"/>
    <cellStyle name="Normal 2 2 8 2 2 4 2 5" xfId="4233"/>
    <cellStyle name="Normal 2 2 8 2 2 4 2 5 2" xfId="5908"/>
    <cellStyle name="Normal 2 2 8 2 2 4 2 5 2 2" xfId="9258"/>
    <cellStyle name="Normal 2 2 8 2 2 4 2 5 3" xfId="10933"/>
    <cellStyle name="Normal 2 2 8 2 2 4 2 5 4" xfId="7583"/>
    <cellStyle name="Normal 2 2 8 2 2 4 2 6" xfId="4941"/>
    <cellStyle name="Normal 2 2 8 2 2 4 2 6 2" xfId="8291"/>
    <cellStyle name="Normal 2 2 8 2 2 4 2 7" xfId="9966"/>
    <cellStyle name="Normal 2 2 8 2 2 4 2 8" xfId="6616"/>
    <cellStyle name="Normal 2 2 8 2 2 4 3" xfId="3385"/>
    <cellStyle name="Normal 2 2 8 2 2 4 3 2" xfId="4351"/>
    <cellStyle name="Normal 2 2 8 2 2 4 3 2 2" xfId="6026"/>
    <cellStyle name="Normal 2 2 8 2 2 4 3 2 2 2" xfId="9376"/>
    <cellStyle name="Normal 2 2 8 2 2 4 3 2 3" xfId="11051"/>
    <cellStyle name="Normal 2 2 8 2 2 4 3 2 4" xfId="7701"/>
    <cellStyle name="Normal 2 2 8 2 2 4 3 3" xfId="5059"/>
    <cellStyle name="Normal 2 2 8 2 2 4 3 3 2" xfId="8409"/>
    <cellStyle name="Normal 2 2 8 2 2 4 3 4" xfId="10084"/>
    <cellStyle name="Normal 2 2 8 2 2 4 3 5" xfId="6734"/>
    <cellStyle name="Normal 2 2 8 2 2 4 4" xfId="3620"/>
    <cellStyle name="Normal 2 2 8 2 2 4 4 2" xfId="4587"/>
    <cellStyle name="Normal 2 2 8 2 2 4 4 2 2" xfId="6262"/>
    <cellStyle name="Normal 2 2 8 2 2 4 4 2 2 2" xfId="9612"/>
    <cellStyle name="Normal 2 2 8 2 2 4 4 2 3" xfId="11287"/>
    <cellStyle name="Normal 2 2 8 2 2 4 4 2 4" xfId="7937"/>
    <cellStyle name="Normal 2 2 8 2 2 4 4 3" xfId="5295"/>
    <cellStyle name="Normal 2 2 8 2 2 4 4 3 2" xfId="8645"/>
    <cellStyle name="Normal 2 2 8 2 2 4 4 4" xfId="10320"/>
    <cellStyle name="Normal 2 2 8 2 2 4 4 5" xfId="6970"/>
    <cellStyle name="Normal 2 2 8 2 2 4 5" xfId="3856"/>
    <cellStyle name="Normal 2 2 8 2 2 4 5 2" xfId="5531"/>
    <cellStyle name="Normal 2 2 8 2 2 4 5 2 2" xfId="8881"/>
    <cellStyle name="Normal 2 2 8 2 2 4 5 3" xfId="10556"/>
    <cellStyle name="Normal 2 2 8 2 2 4 5 4" xfId="7206"/>
    <cellStyle name="Normal 2 2 8 2 2 4 6" xfId="4115"/>
    <cellStyle name="Normal 2 2 8 2 2 4 6 2" xfId="5790"/>
    <cellStyle name="Normal 2 2 8 2 2 4 6 2 2" xfId="9140"/>
    <cellStyle name="Normal 2 2 8 2 2 4 6 3" xfId="10815"/>
    <cellStyle name="Normal 2 2 8 2 2 4 6 4" xfId="7465"/>
    <cellStyle name="Normal 2 2 8 2 2 4 7" xfId="4823"/>
    <cellStyle name="Normal 2 2 8 2 2 4 7 2" xfId="8173"/>
    <cellStyle name="Normal 2 2 8 2 2 4 8" xfId="9848"/>
    <cellStyle name="Normal 2 2 8 2 2 4 9" xfId="6498"/>
    <cellStyle name="Normal 2 2 8 2 2 5" xfId="3173"/>
    <cellStyle name="Normal 2 2 8 2 2 5 2" xfId="3291"/>
    <cellStyle name="Normal 2 2 8 2 2 5 2 2" xfId="3527"/>
    <cellStyle name="Normal 2 2 8 2 2 5 2 2 2" xfId="4493"/>
    <cellStyle name="Normal 2 2 8 2 2 5 2 2 2 2" xfId="6168"/>
    <cellStyle name="Normal 2 2 8 2 2 5 2 2 2 2 2" xfId="9518"/>
    <cellStyle name="Normal 2 2 8 2 2 5 2 2 2 3" xfId="11193"/>
    <cellStyle name="Normal 2 2 8 2 2 5 2 2 2 4" xfId="7843"/>
    <cellStyle name="Normal 2 2 8 2 2 5 2 2 3" xfId="5201"/>
    <cellStyle name="Normal 2 2 8 2 2 5 2 2 3 2" xfId="8551"/>
    <cellStyle name="Normal 2 2 8 2 2 5 2 2 4" xfId="10226"/>
    <cellStyle name="Normal 2 2 8 2 2 5 2 2 5" xfId="6876"/>
    <cellStyle name="Normal 2 2 8 2 2 5 2 3" xfId="3762"/>
    <cellStyle name="Normal 2 2 8 2 2 5 2 3 2" xfId="4729"/>
    <cellStyle name="Normal 2 2 8 2 2 5 2 3 2 2" xfId="6404"/>
    <cellStyle name="Normal 2 2 8 2 2 5 2 3 2 2 2" xfId="9754"/>
    <cellStyle name="Normal 2 2 8 2 2 5 2 3 2 3" xfId="11429"/>
    <cellStyle name="Normal 2 2 8 2 2 5 2 3 2 4" xfId="8079"/>
    <cellStyle name="Normal 2 2 8 2 2 5 2 3 3" xfId="5437"/>
    <cellStyle name="Normal 2 2 8 2 2 5 2 3 3 2" xfId="8787"/>
    <cellStyle name="Normal 2 2 8 2 2 5 2 3 4" xfId="10462"/>
    <cellStyle name="Normal 2 2 8 2 2 5 2 3 5" xfId="7112"/>
    <cellStyle name="Normal 2 2 8 2 2 5 2 4" xfId="3998"/>
    <cellStyle name="Normal 2 2 8 2 2 5 2 4 2" xfId="5673"/>
    <cellStyle name="Normal 2 2 8 2 2 5 2 4 2 2" xfId="9023"/>
    <cellStyle name="Normal 2 2 8 2 2 5 2 4 3" xfId="10698"/>
    <cellStyle name="Normal 2 2 8 2 2 5 2 4 4" xfId="7348"/>
    <cellStyle name="Normal 2 2 8 2 2 5 2 5" xfId="4257"/>
    <cellStyle name="Normal 2 2 8 2 2 5 2 5 2" xfId="5932"/>
    <cellStyle name="Normal 2 2 8 2 2 5 2 5 2 2" xfId="9282"/>
    <cellStyle name="Normal 2 2 8 2 2 5 2 5 3" xfId="10957"/>
    <cellStyle name="Normal 2 2 8 2 2 5 2 5 4" xfId="7607"/>
    <cellStyle name="Normal 2 2 8 2 2 5 2 6" xfId="4965"/>
    <cellStyle name="Normal 2 2 8 2 2 5 2 6 2" xfId="8315"/>
    <cellStyle name="Normal 2 2 8 2 2 5 2 7" xfId="9990"/>
    <cellStyle name="Normal 2 2 8 2 2 5 2 8" xfId="6640"/>
    <cellStyle name="Normal 2 2 8 2 2 5 3" xfId="3409"/>
    <cellStyle name="Normal 2 2 8 2 2 5 3 2" xfId="4375"/>
    <cellStyle name="Normal 2 2 8 2 2 5 3 2 2" xfId="6050"/>
    <cellStyle name="Normal 2 2 8 2 2 5 3 2 2 2" xfId="9400"/>
    <cellStyle name="Normal 2 2 8 2 2 5 3 2 3" xfId="11075"/>
    <cellStyle name="Normal 2 2 8 2 2 5 3 2 4" xfId="7725"/>
    <cellStyle name="Normal 2 2 8 2 2 5 3 3" xfId="5083"/>
    <cellStyle name="Normal 2 2 8 2 2 5 3 3 2" xfId="8433"/>
    <cellStyle name="Normal 2 2 8 2 2 5 3 4" xfId="10108"/>
    <cellStyle name="Normal 2 2 8 2 2 5 3 5" xfId="6758"/>
    <cellStyle name="Normal 2 2 8 2 2 5 4" xfId="3644"/>
    <cellStyle name="Normal 2 2 8 2 2 5 4 2" xfId="4611"/>
    <cellStyle name="Normal 2 2 8 2 2 5 4 2 2" xfId="6286"/>
    <cellStyle name="Normal 2 2 8 2 2 5 4 2 2 2" xfId="9636"/>
    <cellStyle name="Normal 2 2 8 2 2 5 4 2 3" xfId="11311"/>
    <cellStyle name="Normal 2 2 8 2 2 5 4 2 4" xfId="7961"/>
    <cellStyle name="Normal 2 2 8 2 2 5 4 3" xfId="5319"/>
    <cellStyle name="Normal 2 2 8 2 2 5 4 3 2" xfId="8669"/>
    <cellStyle name="Normal 2 2 8 2 2 5 4 4" xfId="10344"/>
    <cellStyle name="Normal 2 2 8 2 2 5 4 5" xfId="6994"/>
    <cellStyle name="Normal 2 2 8 2 2 5 5" xfId="3880"/>
    <cellStyle name="Normal 2 2 8 2 2 5 5 2" xfId="5555"/>
    <cellStyle name="Normal 2 2 8 2 2 5 5 2 2" xfId="8905"/>
    <cellStyle name="Normal 2 2 8 2 2 5 5 3" xfId="10580"/>
    <cellStyle name="Normal 2 2 8 2 2 5 5 4" xfId="7230"/>
    <cellStyle name="Normal 2 2 8 2 2 5 6" xfId="4139"/>
    <cellStyle name="Normal 2 2 8 2 2 5 6 2" xfId="5814"/>
    <cellStyle name="Normal 2 2 8 2 2 5 6 2 2" xfId="9164"/>
    <cellStyle name="Normal 2 2 8 2 2 5 6 3" xfId="10839"/>
    <cellStyle name="Normal 2 2 8 2 2 5 6 4" xfId="7489"/>
    <cellStyle name="Normal 2 2 8 2 2 5 7" xfId="4847"/>
    <cellStyle name="Normal 2 2 8 2 2 5 7 2" xfId="8197"/>
    <cellStyle name="Normal 2 2 8 2 2 5 8" xfId="9872"/>
    <cellStyle name="Normal 2 2 8 2 2 5 9" xfId="6522"/>
    <cellStyle name="Normal 2 2 8 2 2 6" xfId="3197"/>
    <cellStyle name="Normal 2 2 8 2 2 6 2" xfId="3433"/>
    <cellStyle name="Normal 2 2 8 2 2 6 2 2" xfId="4399"/>
    <cellStyle name="Normal 2 2 8 2 2 6 2 2 2" xfId="6074"/>
    <cellStyle name="Normal 2 2 8 2 2 6 2 2 2 2" xfId="9424"/>
    <cellStyle name="Normal 2 2 8 2 2 6 2 2 3" xfId="11099"/>
    <cellStyle name="Normal 2 2 8 2 2 6 2 2 4" xfId="7749"/>
    <cellStyle name="Normal 2 2 8 2 2 6 2 3" xfId="5107"/>
    <cellStyle name="Normal 2 2 8 2 2 6 2 3 2" xfId="8457"/>
    <cellStyle name="Normal 2 2 8 2 2 6 2 4" xfId="10132"/>
    <cellStyle name="Normal 2 2 8 2 2 6 2 5" xfId="6782"/>
    <cellStyle name="Normal 2 2 8 2 2 6 3" xfId="3668"/>
    <cellStyle name="Normal 2 2 8 2 2 6 3 2" xfId="4635"/>
    <cellStyle name="Normal 2 2 8 2 2 6 3 2 2" xfId="6310"/>
    <cellStyle name="Normal 2 2 8 2 2 6 3 2 2 2" xfId="9660"/>
    <cellStyle name="Normal 2 2 8 2 2 6 3 2 3" xfId="11335"/>
    <cellStyle name="Normal 2 2 8 2 2 6 3 2 4" xfId="7985"/>
    <cellStyle name="Normal 2 2 8 2 2 6 3 3" xfId="5343"/>
    <cellStyle name="Normal 2 2 8 2 2 6 3 3 2" xfId="8693"/>
    <cellStyle name="Normal 2 2 8 2 2 6 3 4" xfId="10368"/>
    <cellStyle name="Normal 2 2 8 2 2 6 3 5" xfId="7018"/>
    <cellStyle name="Normal 2 2 8 2 2 6 4" xfId="3904"/>
    <cellStyle name="Normal 2 2 8 2 2 6 4 2" xfId="5579"/>
    <cellStyle name="Normal 2 2 8 2 2 6 4 2 2" xfId="8929"/>
    <cellStyle name="Normal 2 2 8 2 2 6 4 3" xfId="10604"/>
    <cellStyle name="Normal 2 2 8 2 2 6 4 4" xfId="7254"/>
    <cellStyle name="Normal 2 2 8 2 2 6 5" xfId="4163"/>
    <cellStyle name="Normal 2 2 8 2 2 6 5 2" xfId="5838"/>
    <cellStyle name="Normal 2 2 8 2 2 6 5 2 2" xfId="9188"/>
    <cellStyle name="Normal 2 2 8 2 2 6 5 3" xfId="10863"/>
    <cellStyle name="Normal 2 2 8 2 2 6 5 4" xfId="7513"/>
    <cellStyle name="Normal 2 2 8 2 2 6 6" xfId="4871"/>
    <cellStyle name="Normal 2 2 8 2 2 6 6 2" xfId="8221"/>
    <cellStyle name="Normal 2 2 8 2 2 6 7" xfId="9896"/>
    <cellStyle name="Normal 2 2 8 2 2 6 8" xfId="6546"/>
    <cellStyle name="Normal 2 2 8 2 2 7" xfId="3315"/>
    <cellStyle name="Normal 2 2 8 2 2 7 2" xfId="4281"/>
    <cellStyle name="Normal 2 2 8 2 2 7 2 2" xfId="5956"/>
    <cellStyle name="Normal 2 2 8 2 2 7 2 2 2" xfId="9306"/>
    <cellStyle name="Normal 2 2 8 2 2 7 2 3" xfId="10981"/>
    <cellStyle name="Normal 2 2 8 2 2 7 2 4" xfId="7631"/>
    <cellStyle name="Normal 2 2 8 2 2 7 3" xfId="4989"/>
    <cellStyle name="Normal 2 2 8 2 2 7 3 2" xfId="8339"/>
    <cellStyle name="Normal 2 2 8 2 2 7 4" xfId="10014"/>
    <cellStyle name="Normal 2 2 8 2 2 7 5" xfId="6664"/>
    <cellStyle name="Normal 2 2 8 2 2 8" xfId="3550"/>
    <cellStyle name="Normal 2 2 8 2 2 8 2" xfId="4517"/>
    <cellStyle name="Normal 2 2 8 2 2 8 2 2" xfId="6192"/>
    <cellStyle name="Normal 2 2 8 2 2 8 2 2 2" xfId="9542"/>
    <cellStyle name="Normal 2 2 8 2 2 8 2 3" xfId="11217"/>
    <cellStyle name="Normal 2 2 8 2 2 8 2 4" xfId="7867"/>
    <cellStyle name="Normal 2 2 8 2 2 8 3" xfId="5225"/>
    <cellStyle name="Normal 2 2 8 2 2 8 3 2" xfId="8575"/>
    <cellStyle name="Normal 2 2 8 2 2 8 4" xfId="10250"/>
    <cellStyle name="Normal 2 2 8 2 2 8 5" xfId="6900"/>
    <cellStyle name="Normal 2 2 8 2 2 9" xfId="3786"/>
    <cellStyle name="Normal 2 2 8 2 2 9 2" xfId="4045"/>
    <cellStyle name="Normal 2 2 8 2 2 9 2 2" xfId="5720"/>
    <cellStyle name="Normal 2 2 8 2 2 9 2 2 2" xfId="9070"/>
    <cellStyle name="Normal 2 2 8 2 2 9 2 3" xfId="10745"/>
    <cellStyle name="Normal 2 2 8 2 2 9 2 4" xfId="7395"/>
    <cellStyle name="Normal 2 2 8 2 2 9 3" xfId="5461"/>
    <cellStyle name="Normal 2 2 8 2 2 9 3 2" xfId="8811"/>
    <cellStyle name="Normal 2 2 8 2 2 9 4" xfId="10486"/>
    <cellStyle name="Normal 2 2 8 2 2 9 5" xfId="7136"/>
    <cellStyle name="Normal 2 2 8 3" xfId="2110"/>
    <cellStyle name="Normal 2 2 8 4" xfId="3102"/>
    <cellStyle name="Normal 2 2 8 4 2" xfId="3219"/>
    <cellStyle name="Normal 2 2 8 4 2 2" xfId="3455"/>
    <cellStyle name="Normal 2 2 8 4 2 2 2" xfId="4421"/>
    <cellStyle name="Normal 2 2 8 4 2 2 2 2" xfId="6096"/>
    <cellStyle name="Normal 2 2 8 4 2 2 2 2 2" xfId="9446"/>
    <cellStyle name="Normal 2 2 8 4 2 2 2 3" xfId="11121"/>
    <cellStyle name="Normal 2 2 8 4 2 2 2 4" xfId="7771"/>
    <cellStyle name="Normal 2 2 8 4 2 2 3" xfId="5129"/>
    <cellStyle name="Normal 2 2 8 4 2 2 3 2" xfId="8479"/>
    <cellStyle name="Normal 2 2 8 4 2 2 4" xfId="10154"/>
    <cellStyle name="Normal 2 2 8 4 2 2 5" xfId="6804"/>
    <cellStyle name="Normal 2 2 8 4 2 3" xfId="3690"/>
    <cellStyle name="Normal 2 2 8 4 2 3 2" xfId="4657"/>
    <cellStyle name="Normal 2 2 8 4 2 3 2 2" xfId="6332"/>
    <cellStyle name="Normal 2 2 8 4 2 3 2 2 2" xfId="9682"/>
    <cellStyle name="Normal 2 2 8 4 2 3 2 3" xfId="11357"/>
    <cellStyle name="Normal 2 2 8 4 2 3 2 4" xfId="8007"/>
    <cellStyle name="Normal 2 2 8 4 2 3 3" xfId="5365"/>
    <cellStyle name="Normal 2 2 8 4 2 3 3 2" xfId="8715"/>
    <cellStyle name="Normal 2 2 8 4 2 3 4" xfId="10390"/>
    <cellStyle name="Normal 2 2 8 4 2 3 5" xfId="7040"/>
    <cellStyle name="Normal 2 2 8 4 2 4" xfId="3926"/>
    <cellStyle name="Normal 2 2 8 4 2 4 2" xfId="5601"/>
    <cellStyle name="Normal 2 2 8 4 2 4 2 2" xfId="8951"/>
    <cellStyle name="Normal 2 2 8 4 2 4 3" xfId="10626"/>
    <cellStyle name="Normal 2 2 8 4 2 4 4" xfId="7276"/>
    <cellStyle name="Normal 2 2 8 4 2 5" xfId="4185"/>
    <cellStyle name="Normal 2 2 8 4 2 5 2" xfId="5860"/>
    <cellStyle name="Normal 2 2 8 4 2 5 2 2" xfId="9210"/>
    <cellStyle name="Normal 2 2 8 4 2 5 3" xfId="10885"/>
    <cellStyle name="Normal 2 2 8 4 2 5 4" xfId="7535"/>
    <cellStyle name="Normal 2 2 8 4 2 6" xfId="4893"/>
    <cellStyle name="Normal 2 2 8 4 2 6 2" xfId="8243"/>
    <cellStyle name="Normal 2 2 8 4 2 7" xfId="9918"/>
    <cellStyle name="Normal 2 2 8 4 2 8" xfId="6568"/>
    <cellStyle name="Normal 2 2 8 4 3" xfId="3337"/>
    <cellStyle name="Normal 2 2 8 4 3 2" xfId="4303"/>
    <cellStyle name="Normal 2 2 8 4 3 2 2" xfId="5978"/>
    <cellStyle name="Normal 2 2 8 4 3 2 2 2" xfId="9328"/>
    <cellStyle name="Normal 2 2 8 4 3 2 3" xfId="11003"/>
    <cellStyle name="Normal 2 2 8 4 3 2 4" xfId="7653"/>
    <cellStyle name="Normal 2 2 8 4 3 3" xfId="5011"/>
    <cellStyle name="Normal 2 2 8 4 3 3 2" xfId="8361"/>
    <cellStyle name="Normal 2 2 8 4 3 4" xfId="10036"/>
    <cellStyle name="Normal 2 2 8 4 3 5" xfId="6686"/>
    <cellStyle name="Normal 2 2 8 4 4" xfId="3572"/>
    <cellStyle name="Normal 2 2 8 4 4 2" xfId="4539"/>
    <cellStyle name="Normal 2 2 8 4 4 2 2" xfId="6214"/>
    <cellStyle name="Normal 2 2 8 4 4 2 2 2" xfId="9564"/>
    <cellStyle name="Normal 2 2 8 4 4 2 3" xfId="11239"/>
    <cellStyle name="Normal 2 2 8 4 4 2 4" xfId="7889"/>
    <cellStyle name="Normal 2 2 8 4 4 3" xfId="5247"/>
    <cellStyle name="Normal 2 2 8 4 4 3 2" xfId="8597"/>
    <cellStyle name="Normal 2 2 8 4 4 4" xfId="10272"/>
    <cellStyle name="Normal 2 2 8 4 4 5" xfId="6922"/>
    <cellStyle name="Normal 2 2 8 4 5" xfId="3808"/>
    <cellStyle name="Normal 2 2 8 4 5 2" xfId="5483"/>
    <cellStyle name="Normal 2 2 8 4 5 2 2" xfId="8833"/>
    <cellStyle name="Normal 2 2 8 4 5 3" xfId="10508"/>
    <cellStyle name="Normal 2 2 8 4 5 4" xfId="7158"/>
    <cellStyle name="Normal 2 2 8 4 6" xfId="4067"/>
    <cellStyle name="Normal 2 2 8 4 6 2" xfId="5742"/>
    <cellStyle name="Normal 2 2 8 4 6 2 2" xfId="9092"/>
    <cellStyle name="Normal 2 2 8 4 6 3" xfId="10767"/>
    <cellStyle name="Normal 2 2 8 4 6 4" xfId="7417"/>
    <cellStyle name="Normal 2 2 8 4 7" xfId="4775"/>
    <cellStyle name="Normal 2 2 8 4 7 2" xfId="8125"/>
    <cellStyle name="Normal 2 2 8 4 8" xfId="9800"/>
    <cellStyle name="Normal 2 2 8 4 9" xfId="6450"/>
    <cellStyle name="Normal 2 2 8 5" xfId="3125"/>
    <cellStyle name="Normal 2 2 8 5 2" xfId="3242"/>
    <cellStyle name="Normal 2 2 8 5 2 2" xfId="3478"/>
    <cellStyle name="Normal 2 2 8 5 2 2 2" xfId="4444"/>
    <cellStyle name="Normal 2 2 8 5 2 2 2 2" xfId="6119"/>
    <cellStyle name="Normal 2 2 8 5 2 2 2 2 2" xfId="9469"/>
    <cellStyle name="Normal 2 2 8 5 2 2 2 3" xfId="11144"/>
    <cellStyle name="Normal 2 2 8 5 2 2 2 4" xfId="7794"/>
    <cellStyle name="Normal 2 2 8 5 2 2 3" xfId="5152"/>
    <cellStyle name="Normal 2 2 8 5 2 2 3 2" xfId="8502"/>
    <cellStyle name="Normal 2 2 8 5 2 2 4" xfId="10177"/>
    <cellStyle name="Normal 2 2 8 5 2 2 5" xfId="6827"/>
    <cellStyle name="Normal 2 2 8 5 2 3" xfId="3713"/>
    <cellStyle name="Normal 2 2 8 5 2 3 2" xfId="4680"/>
    <cellStyle name="Normal 2 2 8 5 2 3 2 2" xfId="6355"/>
    <cellStyle name="Normal 2 2 8 5 2 3 2 2 2" xfId="9705"/>
    <cellStyle name="Normal 2 2 8 5 2 3 2 3" xfId="11380"/>
    <cellStyle name="Normal 2 2 8 5 2 3 2 4" xfId="8030"/>
    <cellStyle name="Normal 2 2 8 5 2 3 3" xfId="5388"/>
    <cellStyle name="Normal 2 2 8 5 2 3 3 2" xfId="8738"/>
    <cellStyle name="Normal 2 2 8 5 2 3 4" xfId="10413"/>
    <cellStyle name="Normal 2 2 8 5 2 3 5" xfId="7063"/>
    <cellStyle name="Normal 2 2 8 5 2 4" xfId="3949"/>
    <cellStyle name="Normal 2 2 8 5 2 4 2" xfId="5624"/>
    <cellStyle name="Normal 2 2 8 5 2 4 2 2" xfId="8974"/>
    <cellStyle name="Normal 2 2 8 5 2 4 3" xfId="10649"/>
    <cellStyle name="Normal 2 2 8 5 2 4 4" xfId="7299"/>
    <cellStyle name="Normal 2 2 8 5 2 5" xfId="4208"/>
    <cellStyle name="Normal 2 2 8 5 2 5 2" xfId="5883"/>
    <cellStyle name="Normal 2 2 8 5 2 5 2 2" xfId="9233"/>
    <cellStyle name="Normal 2 2 8 5 2 5 3" xfId="10908"/>
    <cellStyle name="Normal 2 2 8 5 2 5 4" xfId="7558"/>
    <cellStyle name="Normal 2 2 8 5 2 6" xfId="4916"/>
    <cellStyle name="Normal 2 2 8 5 2 6 2" xfId="8266"/>
    <cellStyle name="Normal 2 2 8 5 2 7" xfId="9941"/>
    <cellStyle name="Normal 2 2 8 5 2 8" xfId="6591"/>
    <cellStyle name="Normal 2 2 8 5 3" xfId="3360"/>
    <cellStyle name="Normal 2 2 8 5 3 2" xfId="4326"/>
    <cellStyle name="Normal 2 2 8 5 3 2 2" xfId="6001"/>
    <cellStyle name="Normal 2 2 8 5 3 2 2 2" xfId="9351"/>
    <cellStyle name="Normal 2 2 8 5 3 2 3" xfId="11026"/>
    <cellStyle name="Normal 2 2 8 5 3 2 4" xfId="7676"/>
    <cellStyle name="Normal 2 2 8 5 3 3" xfId="5034"/>
    <cellStyle name="Normal 2 2 8 5 3 3 2" xfId="8384"/>
    <cellStyle name="Normal 2 2 8 5 3 4" xfId="10059"/>
    <cellStyle name="Normal 2 2 8 5 3 5" xfId="6709"/>
    <cellStyle name="Normal 2 2 8 5 4" xfId="3595"/>
    <cellStyle name="Normal 2 2 8 5 4 2" xfId="4562"/>
    <cellStyle name="Normal 2 2 8 5 4 2 2" xfId="6237"/>
    <cellStyle name="Normal 2 2 8 5 4 2 2 2" xfId="9587"/>
    <cellStyle name="Normal 2 2 8 5 4 2 3" xfId="11262"/>
    <cellStyle name="Normal 2 2 8 5 4 2 4" xfId="7912"/>
    <cellStyle name="Normal 2 2 8 5 4 3" xfId="5270"/>
    <cellStyle name="Normal 2 2 8 5 4 3 2" xfId="8620"/>
    <cellStyle name="Normal 2 2 8 5 4 4" xfId="10295"/>
    <cellStyle name="Normal 2 2 8 5 4 5" xfId="6945"/>
    <cellStyle name="Normal 2 2 8 5 5" xfId="3831"/>
    <cellStyle name="Normal 2 2 8 5 5 2" xfId="5506"/>
    <cellStyle name="Normal 2 2 8 5 5 2 2" xfId="8856"/>
    <cellStyle name="Normal 2 2 8 5 5 3" xfId="10531"/>
    <cellStyle name="Normal 2 2 8 5 5 4" xfId="7181"/>
    <cellStyle name="Normal 2 2 8 5 6" xfId="4090"/>
    <cellStyle name="Normal 2 2 8 5 6 2" xfId="5765"/>
    <cellStyle name="Normal 2 2 8 5 6 2 2" xfId="9115"/>
    <cellStyle name="Normal 2 2 8 5 6 3" xfId="10790"/>
    <cellStyle name="Normal 2 2 8 5 6 4" xfId="7440"/>
    <cellStyle name="Normal 2 2 8 5 7" xfId="4798"/>
    <cellStyle name="Normal 2 2 8 5 7 2" xfId="8148"/>
    <cellStyle name="Normal 2 2 8 5 8" xfId="9823"/>
    <cellStyle name="Normal 2 2 8 5 9" xfId="6473"/>
    <cellStyle name="Normal 2 2 8 6" xfId="3148"/>
    <cellStyle name="Normal 2 2 8 6 2" xfId="3266"/>
    <cellStyle name="Normal 2 2 8 6 2 2" xfId="3502"/>
    <cellStyle name="Normal 2 2 8 6 2 2 2" xfId="4468"/>
    <cellStyle name="Normal 2 2 8 6 2 2 2 2" xfId="6143"/>
    <cellStyle name="Normal 2 2 8 6 2 2 2 2 2" xfId="9493"/>
    <cellStyle name="Normal 2 2 8 6 2 2 2 3" xfId="11168"/>
    <cellStyle name="Normal 2 2 8 6 2 2 2 4" xfId="7818"/>
    <cellStyle name="Normal 2 2 8 6 2 2 3" xfId="5176"/>
    <cellStyle name="Normal 2 2 8 6 2 2 3 2" xfId="8526"/>
    <cellStyle name="Normal 2 2 8 6 2 2 4" xfId="10201"/>
    <cellStyle name="Normal 2 2 8 6 2 2 5" xfId="6851"/>
    <cellStyle name="Normal 2 2 8 6 2 3" xfId="3737"/>
    <cellStyle name="Normal 2 2 8 6 2 3 2" xfId="4704"/>
    <cellStyle name="Normal 2 2 8 6 2 3 2 2" xfId="6379"/>
    <cellStyle name="Normal 2 2 8 6 2 3 2 2 2" xfId="9729"/>
    <cellStyle name="Normal 2 2 8 6 2 3 2 3" xfId="11404"/>
    <cellStyle name="Normal 2 2 8 6 2 3 2 4" xfId="8054"/>
    <cellStyle name="Normal 2 2 8 6 2 3 3" xfId="5412"/>
    <cellStyle name="Normal 2 2 8 6 2 3 3 2" xfId="8762"/>
    <cellStyle name="Normal 2 2 8 6 2 3 4" xfId="10437"/>
    <cellStyle name="Normal 2 2 8 6 2 3 5" xfId="7087"/>
    <cellStyle name="Normal 2 2 8 6 2 4" xfId="3973"/>
    <cellStyle name="Normal 2 2 8 6 2 4 2" xfId="5648"/>
    <cellStyle name="Normal 2 2 8 6 2 4 2 2" xfId="8998"/>
    <cellStyle name="Normal 2 2 8 6 2 4 3" xfId="10673"/>
    <cellStyle name="Normal 2 2 8 6 2 4 4" xfId="7323"/>
    <cellStyle name="Normal 2 2 8 6 2 5" xfId="4232"/>
    <cellStyle name="Normal 2 2 8 6 2 5 2" xfId="5907"/>
    <cellStyle name="Normal 2 2 8 6 2 5 2 2" xfId="9257"/>
    <cellStyle name="Normal 2 2 8 6 2 5 3" xfId="10932"/>
    <cellStyle name="Normal 2 2 8 6 2 5 4" xfId="7582"/>
    <cellStyle name="Normal 2 2 8 6 2 6" xfId="4940"/>
    <cellStyle name="Normal 2 2 8 6 2 6 2" xfId="8290"/>
    <cellStyle name="Normal 2 2 8 6 2 7" xfId="9965"/>
    <cellStyle name="Normal 2 2 8 6 2 8" xfId="6615"/>
    <cellStyle name="Normal 2 2 8 6 3" xfId="3384"/>
    <cellStyle name="Normal 2 2 8 6 3 2" xfId="4350"/>
    <cellStyle name="Normal 2 2 8 6 3 2 2" xfId="6025"/>
    <cellStyle name="Normal 2 2 8 6 3 2 2 2" xfId="9375"/>
    <cellStyle name="Normal 2 2 8 6 3 2 3" xfId="11050"/>
    <cellStyle name="Normal 2 2 8 6 3 2 4" xfId="7700"/>
    <cellStyle name="Normal 2 2 8 6 3 3" xfId="5058"/>
    <cellStyle name="Normal 2 2 8 6 3 3 2" xfId="8408"/>
    <cellStyle name="Normal 2 2 8 6 3 4" xfId="10083"/>
    <cellStyle name="Normal 2 2 8 6 3 5" xfId="6733"/>
    <cellStyle name="Normal 2 2 8 6 4" xfId="3619"/>
    <cellStyle name="Normal 2 2 8 6 4 2" xfId="4586"/>
    <cellStyle name="Normal 2 2 8 6 4 2 2" xfId="6261"/>
    <cellStyle name="Normal 2 2 8 6 4 2 2 2" xfId="9611"/>
    <cellStyle name="Normal 2 2 8 6 4 2 3" xfId="11286"/>
    <cellStyle name="Normal 2 2 8 6 4 2 4" xfId="7936"/>
    <cellStyle name="Normal 2 2 8 6 4 3" xfId="5294"/>
    <cellStyle name="Normal 2 2 8 6 4 3 2" xfId="8644"/>
    <cellStyle name="Normal 2 2 8 6 4 4" xfId="10319"/>
    <cellStyle name="Normal 2 2 8 6 4 5" xfId="6969"/>
    <cellStyle name="Normal 2 2 8 6 5" xfId="3855"/>
    <cellStyle name="Normal 2 2 8 6 5 2" xfId="5530"/>
    <cellStyle name="Normal 2 2 8 6 5 2 2" xfId="8880"/>
    <cellStyle name="Normal 2 2 8 6 5 3" xfId="10555"/>
    <cellStyle name="Normal 2 2 8 6 5 4" xfId="7205"/>
    <cellStyle name="Normal 2 2 8 6 6" xfId="4114"/>
    <cellStyle name="Normal 2 2 8 6 6 2" xfId="5789"/>
    <cellStyle name="Normal 2 2 8 6 6 2 2" xfId="9139"/>
    <cellStyle name="Normal 2 2 8 6 6 3" xfId="10814"/>
    <cellStyle name="Normal 2 2 8 6 6 4" xfId="7464"/>
    <cellStyle name="Normal 2 2 8 6 7" xfId="4822"/>
    <cellStyle name="Normal 2 2 8 6 7 2" xfId="8172"/>
    <cellStyle name="Normal 2 2 8 6 8" xfId="9847"/>
    <cellStyle name="Normal 2 2 8 6 9" xfId="6497"/>
    <cellStyle name="Normal 2 2 8 7" xfId="3172"/>
    <cellStyle name="Normal 2 2 8 7 2" xfId="3290"/>
    <cellStyle name="Normal 2 2 8 7 2 2" xfId="3526"/>
    <cellStyle name="Normal 2 2 8 7 2 2 2" xfId="4492"/>
    <cellStyle name="Normal 2 2 8 7 2 2 2 2" xfId="6167"/>
    <cellStyle name="Normal 2 2 8 7 2 2 2 2 2" xfId="9517"/>
    <cellStyle name="Normal 2 2 8 7 2 2 2 3" xfId="11192"/>
    <cellStyle name="Normal 2 2 8 7 2 2 2 4" xfId="7842"/>
    <cellStyle name="Normal 2 2 8 7 2 2 3" xfId="5200"/>
    <cellStyle name="Normal 2 2 8 7 2 2 3 2" xfId="8550"/>
    <cellStyle name="Normal 2 2 8 7 2 2 4" xfId="10225"/>
    <cellStyle name="Normal 2 2 8 7 2 2 5" xfId="6875"/>
    <cellStyle name="Normal 2 2 8 7 2 3" xfId="3761"/>
    <cellStyle name="Normal 2 2 8 7 2 3 2" xfId="4728"/>
    <cellStyle name="Normal 2 2 8 7 2 3 2 2" xfId="6403"/>
    <cellStyle name="Normal 2 2 8 7 2 3 2 2 2" xfId="9753"/>
    <cellStyle name="Normal 2 2 8 7 2 3 2 3" xfId="11428"/>
    <cellStyle name="Normal 2 2 8 7 2 3 2 4" xfId="8078"/>
    <cellStyle name="Normal 2 2 8 7 2 3 3" xfId="5436"/>
    <cellStyle name="Normal 2 2 8 7 2 3 3 2" xfId="8786"/>
    <cellStyle name="Normal 2 2 8 7 2 3 4" xfId="10461"/>
    <cellStyle name="Normal 2 2 8 7 2 3 5" xfId="7111"/>
    <cellStyle name="Normal 2 2 8 7 2 4" xfId="3997"/>
    <cellStyle name="Normal 2 2 8 7 2 4 2" xfId="5672"/>
    <cellStyle name="Normal 2 2 8 7 2 4 2 2" xfId="9022"/>
    <cellStyle name="Normal 2 2 8 7 2 4 3" xfId="10697"/>
    <cellStyle name="Normal 2 2 8 7 2 4 4" xfId="7347"/>
    <cellStyle name="Normal 2 2 8 7 2 5" xfId="4256"/>
    <cellStyle name="Normal 2 2 8 7 2 5 2" xfId="5931"/>
    <cellStyle name="Normal 2 2 8 7 2 5 2 2" xfId="9281"/>
    <cellStyle name="Normal 2 2 8 7 2 5 3" xfId="10956"/>
    <cellStyle name="Normal 2 2 8 7 2 5 4" xfId="7606"/>
    <cellStyle name="Normal 2 2 8 7 2 6" xfId="4964"/>
    <cellStyle name="Normal 2 2 8 7 2 6 2" xfId="8314"/>
    <cellStyle name="Normal 2 2 8 7 2 7" xfId="9989"/>
    <cellStyle name="Normal 2 2 8 7 2 8" xfId="6639"/>
    <cellStyle name="Normal 2 2 8 7 3" xfId="3408"/>
    <cellStyle name="Normal 2 2 8 7 3 2" xfId="4374"/>
    <cellStyle name="Normal 2 2 8 7 3 2 2" xfId="6049"/>
    <cellStyle name="Normal 2 2 8 7 3 2 2 2" xfId="9399"/>
    <cellStyle name="Normal 2 2 8 7 3 2 3" xfId="11074"/>
    <cellStyle name="Normal 2 2 8 7 3 2 4" xfId="7724"/>
    <cellStyle name="Normal 2 2 8 7 3 3" xfId="5082"/>
    <cellStyle name="Normal 2 2 8 7 3 3 2" xfId="8432"/>
    <cellStyle name="Normal 2 2 8 7 3 4" xfId="10107"/>
    <cellStyle name="Normal 2 2 8 7 3 5" xfId="6757"/>
    <cellStyle name="Normal 2 2 8 7 4" xfId="3643"/>
    <cellStyle name="Normal 2 2 8 7 4 2" xfId="4610"/>
    <cellStyle name="Normal 2 2 8 7 4 2 2" xfId="6285"/>
    <cellStyle name="Normal 2 2 8 7 4 2 2 2" xfId="9635"/>
    <cellStyle name="Normal 2 2 8 7 4 2 3" xfId="11310"/>
    <cellStyle name="Normal 2 2 8 7 4 2 4" xfId="7960"/>
    <cellStyle name="Normal 2 2 8 7 4 3" xfId="5318"/>
    <cellStyle name="Normal 2 2 8 7 4 3 2" xfId="8668"/>
    <cellStyle name="Normal 2 2 8 7 4 4" xfId="10343"/>
    <cellStyle name="Normal 2 2 8 7 4 5" xfId="6993"/>
    <cellStyle name="Normal 2 2 8 7 5" xfId="3879"/>
    <cellStyle name="Normal 2 2 8 7 5 2" xfId="5554"/>
    <cellStyle name="Normal 2 2 8 7 5 2 2" xfId="8904"/>
    <cellStyle name="Normal 2 2 8 7 5 3" xfId="10579"/>
    <cellStyle name="Normal 2 2 8 7 5 4" xfId="7229"/>
    <cellStyle name="Normal 2 2 8 7 6" xfId="4138"/>
    <cellStyle name="Normal 2 2 8 7 6 2" xfId="5813"/>
    <cellStyle name="Normal 2 2 8 7 6 2 2" xfId="9163"/>
    <cellStyle name="Normal 2 2 8 7 6 3" xfId="10838"/>
    <cellStyle name="Normal 2 2 8 7 6 4" xfId="7488"/>
    <cellStyle name="Normal 2 2 8 7 7" xfId="4846"/>
    <cellStyle name="Normal 2 2 8 7 7 2" xfId="8196"/>
    <cellStyle name="Normal 2 2 8 7 8" xfId="9871"/>
    <cellStyle name="Normal 2 2 8 7 9" xfId="6521"/>
    <cellStyle name="Normal 2 2 8 8" xfId="3196"/>
    <cellStyle name="Normal 2 2 8 8 2" xfId="3432"/>
    <cellStyle name="Normal 2 2 8 8 2 2" xfId="4398"/>
    <cellStyle name="Normal 2 2 8 8 2 2 2" xfId="6073"/>
    <cellStyle name="Normal 2 2 8 8 2 2 2 2" xfId="9423"/>
    <cellStyle name="Normal 2 2 8 8 2 2 3" xfId="11098"/>
    <cellStyle name="Normal 2 2 8 8 2 2 4" xfId="7748"/>
    <cellStyle name="Normal 2 2 8 8 2 3" xfId="5106"/>
    <cellStyle name="Normal 2 2 8 8 2 3 2" xfId="8456"/>
    <cellStyle name="Normal 2 2 8 8 2 4" xfId="10131"/>
    <cellStyle name="Normal 2 2 8 8 2 5" xfId="6781"/>
    <cellStyle name="Normal 2 2 8 8 3" xfId="3667"/>
    <cellStyle name="Normal 2 2 8 8 3 2" xfId="4634"/>
    <cellStyle name="Normal 2 2 8 8 3 2 2" xfId="6309"/>
    <cellStyle name="Normal 2 2 8 8 3 2 2 2" xfId="9659"/>
    <cellStyle name="Normal 2 2 8 8 3 2 3" xfId="11334"/>
    <cellStyle name="Normal 2 2 8 8 3 2 4" xfId="7984"/>
    <cellStyle name="Normal 2 2 8 8 3 3" xfId="5342"/>
    <cellStyle name="Normal 2 2 8 8 3 3 2" xfId="8692"/>
    <cellStyle name="Normal 2 2 8 8 3 4" xfId="10367"/>
    <cellStyle name="Normal 2 2 8 8 3 5" xfId="7017"/>
    <cellStyle name="Normal 2 2 8 8 4" xfId="3903"/>
    <cellStyle name="Normal 2 2 8 8 4 2" xfId="5578"/>
    <cellStyle name="Normal 2 2 8 8 4 2 2" xfId="8928"/>
    <cellStyle name="Normal 2 2 8 8 4 3" xfId="10603"/>
    <cellStyle name="Normal 2 2 8 8 4 4" xfId="7253"/>
    <cellStyle name="Normal 2 2 8 8 5" xfId="4162"/>
    <cellStyle name="Normal 2 2 8 8 5 2" xfId="5837"/>
    <cellStyle name="Normal 2 2 8 8 5 2 2" xfId="9187"/>
    <cellStyle name="Normal 2 2 8 8 5 3" xfId="10862"/>
    <cellStyle name="Normal 2 2 8 8 5 4" xfId="7512"/>
    <cellStyle name="Normal 2 2 8 8 6" xfId="4870"/>
    <cellStyle name="Normal 2 2 8 8 6 2" xfId="8220"/>
    <cellStyle name="Normal 2 2 8 8 7" xfId="9895"/>
    <cellStyle name="Normal 2 2 8 8 8" xfId="6545"/>
    <cellStyle name="Normal 2 2 8 9" xfId="3314"/>
    <cellStyle name="Normal 2 2 8 9 2" xfId="4280"/>
    <cellStyle name="Normal 2 2 8 9 2 2" xfId="5955"/>
    <cellStyle name="Normal 2 2 8 9 2 2 2" xfId="9305"/>
    <cellStyle name="Normal 2 2 8 9 2 3" xfId="10980"/>
    <cellStyle name="Normal 2 2 8 9 2 4" xfId="7630"/>
    <cellStyle name="Normal 2 2 8 9 3" xfId="4988"/>
    <cellStyle name="Normal 2 2 8 9 3 2" xfId="8338"/>
    <cellStyle name="Normal 2 2 8 9 4" xfId="10013"/>
    <cellStyle name="Normal 2 2 8 9 5" xfId="6663"/>
    <cellStyle name="Normal 2 2 9" xfId="2111"/>
    <cellStyle name="Normal 2 20" xfId="3115"/>
    <cellStyle name="Normal 2 20 2" xfId="3232"/>
    <cellStyle name="Normal 2 20 2 2" xfId="3468"/>
    <cellStyle name="Normal 2 20 2 2 2" xfId="4434"/>
    <cellStyle name="Normal 2 20 2 2 2 2" xfId="6109"/>
    <cellStyle name="Normal 2 20 2 2 2 2 2" xfId="9459"/>
    <cellStyle name="Normal 2 20 2 2 2 3" xfId="11134"/>
    <cellStyle name="Normal 2 20 2 2 2 4" xfId="7784"/>
    <cellStyle name="Normal 2 20 2 2 3" xfId="5142"/>
    <cellStyle name="Normal 2 20 2 2 3 2" xfId="8492"/>
    <cellStyle name="Normal 2 20 2 2 4" xfId="10167"/>
    <cellStyle name="Normal 2 20 2 2 5" xfId="6817"/>
    <cellStyle name="Normal 2 20 2 3" xfId="3703"/>
    <cellStyle name="Normal 2 20 2 3 2" xfId="4670"/>
    <cellStyle name="Normal 2 20 2 3 2 2" xfId="6345"/>
    <cellStyle name="Normal 2 20 2 3 2 2 2" xfId="9695"/>
    <cellStyle name="Normal 2 20 2 3 2 3" xfId="11370"/>
    <cellStyle name="Normal 2 20 2 3 2 4" xfId="8020"/>
    <cellStyle name="Normal 2 20 2 3 3" xfId="5378"/>
    <cellStyle name="Normal 2 20 2 3 3 2" xfId="8728"/>
    <cellStyle name="Normal 2 20 2 3 4" xfId="10403"/>
    <cellStyle name="Normal 2 20 2 3 5" xfId="7053"/>
    <cellStyle name="Normal 2 20 2 4" xfId="3939"/>
    <cellStyle name="Normal 2 20 2 4 2" xfId="5614"/>
    <cellStyle name="Normal 2 20 2 4 2 2" xfId="8964"/>
    <cellStyle name="Normal 2 20 2 4 3" xfId="10639"/>
    <cellStyle name="Normal 2 20 2 4 4" xfId="7289"/>
    <cellStyle name="Normal 2 20 2 5" xfId="4198"/>
    <cellStyle name="Normal 2 20 2 5 2" xfId="5873"/>
    <cellStyle name="Normal 2 20 2 5 2 2" xfId="9223"/>
    <cellStyle name="Normal 2 20 2 5 3" xfId="10898"/>
    <cellStyle name="Normal 2 20 2 5 4" xfId="7548"/>
    <cellStyle name="Normal 2 20 2 6" xfId="4906"/>
    <cellStyle name="Normal 2 20 2 6 2" xfId="8256"/>
    <cellStyle name="Normal 2 20 2 7" xfId="9931"/>
    <cellStyle name="Normal 2 20 2 8" xfId="6581"/>
    <cellStyle name="Normal 2 20 3" xfId="3350"/>
    <cellStyle name="Normal 2 20 3 2" xfId="4316"/>
    <cellStyle name="Normal 2 20 3 2 2" xfId="5991"/>
    <cellStyle name="Normal 2 20 3 2 2 2" xfId="9341"/>
    <cellStyle name="Normal 2 20 3 2 3" xfId="11016"/>
    <cellStyle name="Normal 2 20 3 2 4" xfId="7666"/>
    <cellStyle name="Normal 2 20 3 3" xfId="5024"/>
    <cellStyle name="Normal 2 20 3 3 2" xfId="8374"/>
    <cellStyle name="Normal 2 20 3 4" xfId="10049"/>
    <cellStyle name="Normal 2 20 3 5" xfId="6699"/>
    <cellStyle name="Normal 2 20 4" xfId="3585"/>
    <cellStyle name="Normal 2 20 4 2" xfId="4552"/>
    <cellStyle name="Normal 2 20 4 2 2" xfId="6227"/>
    <cellStyle name="Normal 2 20 4 2 2 2" xfId="9577"/>
    <cellStyle name="Normal 2 20 4 2 3" xfId="11252"/>
    <cellStyle name="Normal 2 20 4 2 4" xfId="7902"/>
    <cellStyle name="Normal 2 20 4 3" xfId="5260"/>
    <cellStyle name="Normal 2 20 4 3 2" xfId="8610"/>
    <cellStyle name="Normal 2 20 4 4" xfId="10285"/>
    <cellStyle name="Normal 2 20 4 5" xfId="6935"/>
    <cellStyle name="Normal 2 20 5" xfId="3821"/>
    <cellStyle name="Normal 2 20 5 2" xfId="5496"/>
    <cellStyle name="Normal 2 20 5 2 2" xfId="8846"/>
    <cellStyle name="Normal 2 20 5 3" xfId="10521"/>
    <cellStyle name="Normal 2 20 5 4" xfId="7171"/>
    <cellStyle name="Normal 2 20 6" xfId="4080"/>
    <cellStyle name="Normal 2 20 6 2" xfId="5755"/>
    <cellStyle name="Normal 2 20 6 2 2" xfId="9105"/>
    <cellStyle name="Normal 2 20 6 3" xfId="10780"/>
    <cellStyle name="Normal 2 20 6 4" xfId="7430"/>
    <cellStyle name="Normal 2 20 7" xfId="4788"/>
    <cellStyle name="Normal 2 20 7 2" xfId="8138"/>
    <cellStyle name="Normal 2 20 8" xfId="9813"/>
    <cellStyle name="Normal 2 20 9" xfId="6463"/>
    <cellStyle name="Normal 2 21" xfId="3138"/>
    <cellStyle name="Normal 2 21 2" xfId="3256"/>
    <cellStyle name="Normal 2 21 2 2" xfId="3492"/>
    <cellStyle name="Normal 2 21 2 2 2" xfId="4458"/>
    <cellStyle name="Normal 2 21 2 2 2 2" xfId="6133"/>
    <cellStyle name="Normal 2 21 2 2 2 2 2" xfId="9483"/>
    <cellStyle name="Normal 2 21 2 2 2 3" xfId="11158"/>
    <cellStyle name="Normal 2 21 2 2 2 4" xfId="7808"/>
    <cellStyle name="Normal 2 21 2 2 3" xfId="5166"/>
    <cellStyle name="Normal 2 21 2 2 3 2" xfId="8516"/>
    <cellStyle name="Normal 2 21 2 2 4" xfId="10191"/>
    <cellStyle name="Normal 2 21 2 2 5" xfId="6841"/>
    <cellStyle name="Normal 2 21 2 3" xfId="3727"/>
    <cellStyle name="Normal 2 21 2 3 2" xfId="4694"/>
    <cellStyle name="Normal 2 21 2 3 2 2" xfId="6369"/>
    <cellStyle name="Normal 2 21 2 3 2 2 2" xfId="9719"/>
    <cellStyle name="Normal 2 21 2 3 2 3" xfId="11394"/>
    <cellStyle name="Normal 2 21 2 3 2 4" xfId="8044"/>
    <cellStyle name="Normal 2 21 2 3 3" xfId="5402"/>
    <cellStyle name="Normal 2 21 2 3 3 2" xfId="8752"/>
    <cellStyle name="Normal 2 21 2 3 4" xfId="10427"/>
    <cellStyle name="Normal 2 21 2 3 5" xfId="7077"/>
    <cellStyle name="Normal 2 21 2 4" xfId="3963"/>
    <cellStyle name="Normal 2 21 2 4 2" xfId="5638"/>
    <cellStyle name="Normal 2 21 2 4 2 2" xfId="8988"/>
    <cellStyle name="Normal 2 21 2 4 3" xfId="10663"/>
    <cellStyle name="Normal 2 21 2 4 4" xfId="7313"/>
    <cellStyle name="Normal 2 21 2 5" xfId="4222"/>
    <cellStyle name="Normal 2 21 2 5 2" xfId="5897"/>
    <cellStyle name="Normal 2 21 2 5 2 2" xfId="9247"/>
    <cellStyle name="Normal 2 21 2 5 3" xfId="10922"/>
    <cellStyle name="Normal 2 21 2 5 4" xfId="7572"/>
    <cellStyle name="Normal 2 21 2 6" xfId="4930"/>
    <cellStyle name="Normal 2 21 2 6 2" xfId="8280"/>
    <cellStyle name="Normal 2 21 2 7" xfId="9955"/>
    <cellStyle name="Normal 2 21 2 8" xfId="6605"/>
    <cellStyle name="Normal 2 21 3" xfId="3374"/>
    <cellStyle name="Normal 2 21 3 2" xfId="4340"/>
    <cellStyle name="Normal 2 21 3 2 2" xfId="6015"/>
    <cellStyle name="Normal 2 21 3 2 2 2" xfId="9365"/>
    <cellStyle name="Normal 2 21 3 2 3" xfId="11040"/>
    <cellStyle name="Normal 2 21 3 2 4" xfId="7690"/>
    <cellStyle name="Normal 2 21 3 3" xfId="5048"/>
    <cellStyle name="Normal 2 21 3 3 2" xfId="8398"/>
    <cellStyle name="Normal 2 21 3 4" xfId="10073"/>
    <cellStyle name="Normal 2 21 3 5" xfId="6723"/>
    <cellStyle name="Normal 2 21 4" xfId="3609"/>
    <cellStyle name="Normal 2 21 4 2" xfId="4576"/>
    <cellStyle name="Normal 2 21 4 2 2" xfId="6251"/>
    <cellStyle name="Normal 2 21 4 2 2 2" xfId="9601"/>
    <cellStyle name="Normal 2 21 4 2 3" xfId="11276"/>
    <cellStyle name="Normal 2 21 4 2 4" xfId="7926"/>
    <cellStyle name="Normal 2 21 4 3" xfId="5284"/>
    <cellStyle name="Normal 2 21 4 3 2" xfId="8634"/>
    <cellStyle name="Normal 2 21 4 4" xfId="10309"/>
    <cellStyle name="Normal 2 21 4 5" xfId="6959"/>
    <cellStyle name="Normal 2 21 5" xfId="3845"/>
    <cellStyle name="Normal 2 21 5 2" xfId="5520"/>
    <cellStyle name="Normal 2 21 5 2 2" xfId="8870"/>
    <cellStyle name="Normal 2 21 5 3" xfId="10545"/>
    <cellStyle name="Normal 2 21 5 4" xfId="7195"/>
    <cellStyle name="Normal 2 21 6" xfId="4104"/>
    <cellStyle name="Normal 2 21 6 2" xfId="5779"/>
    <cellStyle name="Normal 2 21 6 2 2" xfId="9129"/>
    <cellStyle name="Normal 2 21 6 3" xfId="10804"/>
    <cellStyle name="Normal 2 21 6 4" xfId="7454"/>
    <cellStyle name="Normal 2 21 7" xfId="4812"/>
    <cellStyle name="Normal 2 21 7 2" xfId="8162"/>
    <cellStyle name="Normal 2 21 8" xfId="9837"/>
    <cellStyle name="Normal 2 21 9" xfId="6487"/>
    <cellStyle name="Normal 2 22" xfId="3162"/>
    <cellStyle name="Normal 2 22 2" xfId="3280"/>
    <cellStyle name="Normal 2 22 2 2" xfId="3516"/>
    <cellStyle name="Normal 2 22 2 2 2" xfId="4482"/>
    <cellStyle name="Normal 2 22 2 2 2 2" xfId="6157"/>
    <cellStyle name="Normal 2 22 2 2 2 2 2" xfId="9507"/>
    <cellStyle name="Normal 2 22 2 2 2 3" xfId="11182"/>
    <cellStyle name="Normal 2 22 2 2 2 4" xfId="7832"/>
    <cellStyle name="Normal 2 22 2 2 3" xfId="5190"/>
    <cellStyle name="Normal 2 22 2 2 3 2" xfId="8540"/>
    <cellStyle name="Normal 2 22 2 2 4" xfId="10215"/>
    <cellStyle name="Normal 2 22 2 2 5" xfId="6865"/>
    <cellStyle name="Normal 2 22 2 3" xfId="3751"/>
    <cellStyle name="Normal 2 22 2 3 2" xfId="4718"/>
    <cellStyle name="Normal 2 22 2 3 2 2" xfId="6393"/>
    <cellStyle name="Normal 2 22 2 3 2 2 2" xfId="9743"/>
    <cellStyle name="Normal 2 22 2 3 2 3" xfId="11418"/>
    <cellStyle name="Normal 2 22 2 3 2 4" xfId="8068"/>
    <cellStyle name="Normal 2 22 2 3 3" xfId="5426"/>
    <cellStyle name="Normal 2 22 2 3 3 2" xfId="8776"/>
    <cellStyle name="Normal 2 22 2 3 4" xfId="10451"/>
    <cellStyle name="Normal 2 22 2 3 5" xfId="7101"/>
    <cellStyle name="Normal 2 22 2 4" xfId="3987"/>
    <cellStyle name="Normal 2 22 2 4 2" xfId="5662"/>
    <cellStyle name="Normal 2 22 2 4 2 2" xfId="9012"/>
    <cellStyle name="Normal 2 22 2 4 3" xfId="10687"/>
    <cellStyle name="Normal 2 22 2 4 4" xfId="7337"/>
    <cellStyle name="Normal 2 22 2 5" xfId="4246"/>
    <cellStyle name="Normal 2 22 2 5 2" xfId="5921"/>
    <cellStyle name="Normal 2 22 2 5 2 2" xfId="9271"/>
    <cellStyle name="Normal 2 22 2 5 3" xfId="10946"/>
    <cellStyle name="Normal 2 22 2 5 4" xfId="7596"/>
    <cellStyle name="Normal 2 22 2 6" xfId="4954"/>
    <cellStyle name="Normal 2 22 2 6 2" xfId="8304"/>
    <cellStyle name="Normal 2 22 2 7" xfId="9979"/>
    <cellStyle name="Normal 2 22 2 8" xfId="6629"/>
    <cellStyle name="Normal 2 22 3" xfId="3398"/>
    <cellStyle name="Normal 2 22 3 2" xfId="4364"/>
    <cellStyle name="Normal 2 22 3 2 2" xfId="6039"/>
    <cellStyle name="Normal 2 22 3 2 2 2" xfId="9389"/>
    <cellStyle name="Normal 2 22 3 2 3" xfId="11064"/>
    <cellStyle name="Normal 2 22 3 2 4" xfId="7714"/>
    <cellStyle name="Normal 2 22 3 3" xfId="5072"/>
    <cellStyle name="Normal 2 22 3 3 2" xfId="8422"/>
    <cellStyle name="Normal 2 22 3 4" xfId="10097"/>
    <cellStyle name="Normal 2 22 3 5" xfId="6747"/>
    <cellStyle name="Normal 2 22 4" xfId="3633"/>
    <cellStyle name="Normal 2 22 4 2" xfId="4600"/>
    <cellStyle name="Normal 2 22 4 2 2" xfId="6275"/>
    <cellStyle name="Normal 2 22 4 2 2 2" xfId="9625"/>
    <cellStyle name="Normal 2 22 4 2 3" xfId="11300"/>
    <cellStyle name="Normal 2 22 4 2 4" xfId="7950"/>
    <cellStyle name="Normal 2 22 4 3" xfId="5308"/>
    <cellStyle name="Normal 2 22 4 3 2" xfId="8658"/>
    <cellStyle name="Normal 2 22 4 4" xfId="10333"/>
    <cellStyle name="Normal 2 22 4 5" xfId="6983"/>
    <cellStyle name="Normal 2 22 5" xfId="3869"/>
    <cellStyle name="Normal 2 22 5 2" xfId="5544"/>
    <cellStyle name="Normal 2 22 5 2 2" xfId="8894"/>
    <cellStyle name="Normal 2 22 5 3" xfId="10569"/>
    <cellStyle name="Normal 2 22 5 4" xfId="7219"/>
    <cellStyle name="Normal 2 22 6" xfId="4128"/>
    <cellStyle name="Normal 2 22 6 2" xfId="5803"/>
    <cellStyle name="Normal 2 22 6 2 2" xfId="9153"/>
    <cellStyle name="Normal 2 22 6 3" xfId="10828"/>
    <cellStyle name="Normal 2 22 6 4" xfId="7478"/>
    <cellStyle name="Normal 2 22 7" xfId="4836"/>
    <cellStyle name="Normal 2 22 7 2" xfId="8186"/>
    <cellStyle name="Normal 2 22 8" xfId="9861"/>
    <cellStyle name="Normal 2 22 9" xfId="6511"/>
    <cellStyle name="Normal 2 23" xfId="3186"/>
    <cellStyle name="Normal 2 23 2" xfId="3422"/>
    <cellStyle name="Normal 2 23 2 2" xfId="4388"/>
    <cellStyle name="Normal 2 23 2 2 2" xfId="6063"/>
    <cellStyle name="Normal 2 23 2 2 2 2" xfId="9413"/>
    <cellStyle name="Normal 2 23 2 2 3" xfId="11088"/>
    <cellStyle name="Normal 2 23 2 2 4" xfId="7738"/>
    <cellStyle name="Normal 2 23 2 3" xfId="5096"/>
    <cellStyle name="Normal 2 23 2 3 2" xfId="8446"/>
    <cellStyle name="Normal 2 23 2 4" xfId="10121"/>
    <cellStyle name="Normal 2 23 2 5" xfId="6771"/>
    <cellStyle name="Normal 2 23 3" xfId="3657"/>
    <cellStyle name="Normal 2 23 3 2" xfId="4624"/>
    <cellStyle name="Normal 2 23 3 2 2" xfId="6299"/>
    <cellStyle name="Normal 2 23 3 2 2 2" xfId="9649"/>
    <cellStyle name="Normal 2 23 3 2 3" xfId="11324"/>
    <cellStyle name="Normal 2 23 3 2 4" xfId="7974"/>
    <cellStyle name="Normal 2 23 3 3" xfId="5332"/>
    <cellStyle name="Normal 2 23 3 3 2" xfId="8682"/>
    <cellStyle name="Normal 2 23 3 4" xfId="10357"/>
    <cellStyle name="Normal 2 23 3 5" xfId="7007"/>
    <cellStyle name="Normal 2 23 4" xfId="3893"/>
    <cellStyle name="Normal 2 23 4 2" xfId="5568"/>
    <cellStyle name="Normal 2 23 4 2 2" xfId="8918"/>
    <cellStyle name="Normal 2 23 4 3" xfId="10593"/>
    <cellStyle name="Normal 2 23 4 4" xfId="7243"/>
    <cellStyle name="Normal 2 23 5" xfId="4152"/>
    <cellStyle name="Normal 2 23 5 2" xfId="5827"/>
    <cellStyle name="Normal 2 23 5 2 2" xfId="9177"/>
    <cellStyle name="Normal 2 23 5 3" xfId="10852"/>
    <cellStyle name="Normal 2 23 5 4" xfId="7502"/>
    <cellStyle name="Normal 2 23 6" xfId="4860"/>
    <cellStyle name="Normal 2 23 6 2" xfId="8210"/>
    <cellStyle name="Normal 2 23 7" xfId="9885"/>
    <cellStyle name="Normal 2 23 8" xfId="6535"/>
    <cellStyle name="Normal 2 24" xfId="3304"/>
    <cellStyle name="Normal 2 24 2" xfId="4270"/>
    <cellStyle name="Normal 2 24 2 2" xfId="5945"/>
    <cellStyle name="Normal 2 24 2 2 2" xfId="9295"/>
    <cellStyle name="Normal 2 24 2 3" xfId="10970"/>
    <cellStyle name="Normal 2 24 2 4" xfId="7620"/>
    <cellStyle name="Normal 2 24 3" xfId="4978"/>
    <cellStyle name="Normal 2 24 3 2" xfId="8328"/>
    <cellStyle name="Normal 2 24 4" xfId="10003"/>
    <cellStyle name="Normal 2 24 5" xfId="6653"/>
    <cellStyle name="Normal 2 25" xfId="3540"/>
    <cellStyle name="Normal 2 25 2" xfId="4506"/>
    <cellStyle name="Normal 2 25 2 2" xfId="6181"/>
    <cellStyle name="Normal 2 25 2 2 2" xfId="9531"/>
    <cellStyle name="Normal 2 25 2 3" xfId="11206"/>
    <cellStyle name="Normal 2 25 2 4" xfId="7856"/>
    <cellStyle name="Normal 2 25 3" xfId="5214"/>
    <cellStyle name="Normal 2 25 3 2" xfId="8564"/>
    <cellStyle name="Normal 2 25 4" xfId="10239"/>
    <cellStyle name="Normal 2 25 5" xfId="6889"/>
    <cellStyle name="Normal 2 26" xfId="3775"/>
    <cellStyle name="Normal 2 26 2" xfId="4034"/>
    <cellStyle name="Normal 2 26 2 2" xfId="5709"/>
    <cellStyle name="Normal 2 26 2 2 2" xfId="9059"/>
    <cellStyle name="Normal 2 26 2 3" xfId="10734"/>
    <cellStyle name="Normal 2 26 2 4" xfId="7384"/>
    <cellStyle name="Normal 2 26 3" xfId="5450"/>
    <cellStyle name="Normal 2 26 3 2" xfId="8800"/>
    <cellStyle name="Normal 2 26 4" xfId="10475"/>
    <cellStyle name="Normal 2 26 5" xfId="7125"/>
    <cellStyle name="Normal 2 27" xfId="4011"/>
    <cellStyle name="Normal 2 27 2" xfId="5686"/>
    <cellStyle name="Normal 2 27 2 2" xfId="9036"/>
    <cellStyle name="Normal 2 27 3" xfId="10711"/>
    <cellStyle name="Normal 2 27 4" xfId="7361"/>
    <cellStyle name="Normal 2 28" xfId="4742"/>
    <cellStyle name="Normal 2 28 2" xfId="8092"/>
    <cellStyle name="Normal 2 29" xfId="9767"/>
    <cellStyle name="Normal 2 3" xfId="4"/>
    <cellStyle name="Normal 2 3 10" xfId="2113"/>
    <cellStyle name="Normal 2 3 11" xfId="2112"/>
    <cellStyle name="Normal 2 3 11 2" xfId="2641"/>
    <cellStyle name="Normal 2 3 12" xfId="289"/>
    <cellStyle name="Normal 2 3 2" xfId="290"/>
    <cellStyle name="Normal 2 3 2 2" xfId="355"/>
    <cellStyle name="Normal 2 3 2 2 2" xfId="380"/>
    <cellStyle name="Normal 2 3 2 2 2 2" xfId="2793"/>
    <cellStyle name="Normal 2 3 2 2 2 3" xfId="12083"/>
    <cellStyle name="Normal 2 3 2 2 3" xfId="2769"/>
    <cellStyle name="Normal 2 3 2 2 4" xfId="12084"/>
    <cellStyle name="Normal 2 3 2 3" xfId="2642"/>
    <cellStyle name="Normal 2 3 2 4" xfId="12085"/>
    <cellStyle name="Normal 2 3 3" xfId="291"/>
    <cellStyle name="Normal 2 3 3 2" xfId="344"/>
    <cellStyle name="Normal 2 3 3 2 2" xfId="376"/>
    <cellStyle name="Normal 2 3 3 2 2 2" xfId="2789"/>
    <cellStyle name="Normal 2 3 3 2 2 3" xfId="12086"/>
    <cellStyle name="Normal 2 3 3 2 3" xfId="2765"/>
    <cellStyle name="Normal 2 3 3 2 4" xfId="12087"/>
    <cellStyle name="Normal 2 3 3 3" xfId="2643"/>
    <cellStyle name="Normal 2 3 3 4" xfId="12088"/>
    <cellStyle name="Normal 2 3 4" xfId="354"/>
    <cellStyle name="Normal 2 3 4 2" xfId="379"/>
    <cellStyle name="Normal 2 3 4 2 2" xfId="2792"/>
    <cellStyle name="Normal 2 3 4 2 3" xfId="12089"/>
    <cellStyle name="Normal 2 3 4 3" xfId="2768"/>
    <cellStyle name="Normal 2 3 4 4" xfId="12090"/>
    <cellStyle name="Normal 2 3 5" xfId="343"/>
    <cellStyle name="Normal 2 3 5 2" xfId="375"/>
    <cellStyle name="Normal 2 3 5 2 2" xfId="2788"/>
    <cellStyle name="Normal 2 3 5 2 3" xfId="12091"/>
    <cellStyle name="Normal 2 3 5 3" xfId="2764"/>
    <cellStyle name="Normal 2 3 5 4" xfId="12092"/>
    <cellStyle name="Normal 2 3 6" xfId="353"/>
    <cellStyle name="Normal 2 3 6 2" xfId="378"/>
    <cellStyle name="Normal 2 3 6 2 2" xfId="2791"/>
    <cellStyle name="Normal 2 3 6 2 3" xfId="12093"/>
    <cellStyle name="Normal 2 3 6 3" xfId="2767"/>
    <cellStyle name="Normal 2 3 6 4" xfId="12094"/>
    <cellStyle name="Normal 2 3 7" xfId="345"/>
    <cellStyle name="Normal 2 3 7 2" xfId="377"/>
    <cellStyle name="Normal 2 3 7 2 2" xfId="2790"/>
    <cellStyle name="Normal 2 3 7 2 3" xfId="12095"/>
    <cellStyle name="Normal 2 3 7 3" xfId="2766"/>
    <cellStyle name="Normal 2 3 7 4" xfId="12096"/>
    <cellStyle name="Normal 2 3 8" xfId="2114"/>
    <cellStyle name="Normal 2 3 8 2" xfId="2422"/>
    <cellStyle name="Normal 2 3 8 2 2" xfId="2820"/>
    <cellStyle name="Normal 2 3 9" xfId="2115"/>
    <cellStyle name="Normal 2 3 9 2" xfId="2423"/>
    <cellStyle name="Normal 2 3 9 2 2" xfId="2644"/>
    <cellStyle name="Normal 2 3 9 2 2 2" xfId="2840"/>
    <cellStyle name="Normal 2 3 9 3" xfId="2801"/>
    <cellStyle name="Normal 2 30" xfId="6417"/>
    <cellStyle name="Normal 2 31" xfId="12224"/>
    <cellStyle name="Normal 2 4" xfId="292"/>
    <cellStyle name="Normal 2 4 2" xfId="342"/>
    <cellStyle name="Normal 2 4 2 2" xfId="2117"/>
    <cellStyle name="Normal 2 4 2 3" xfId="2118"/>
    <cellStyle name="Normal 2 4 2 3 2" xfId="2645"/>
    <cellStyle name="Normal 2 4 2 3 2 2" xfId="2841"/>
    <cellStyle name="Normal 2 4 2 3 3" xfId="2802"/>
    <cellStyle name="Normal 2 4 3" xfId="2119"/>
    <cellStyle name="Normal 2 4 3 2" xfId="2120"/>
    <cellStyle name="Normal 2 4 3 3" xfId="2646"/>
    <cellStyle name="Normal 2 4 3 3 2" xfId="2842"/>
    <cellStyle name="Normal 2 4 3 4" xfId="2803"/>
    <cellStyle name="Normal 2 4 4" xfId="2121"/>
    <cellStyle name="Normal 2 4 5" xfId="2122"/>
    <cellStyle name="Normal 2 4 5 10" xfId="4023"/>
    <cellStyle name="Normal 2 4 5 10 2" xfId="5698"/>
    <cellStyle name="Normal 2 4 5 10 2 2" xfId="9048"/>
    <cellStyle name="Normal 2 4 5 10 3" xfId="10723"/>
    <cellStyle name="Normal 2 4 5 10 4" xfId="7373"/>
    <cellStyle name="Normal 2 4 5 11" xfId="4754"/>
    <cellStyle name="Normal 2 4 5 11 2" xfId="8104"/>
    <cellStyle name="Normal 2 4 5 12" xfId="9779"/>
    <cellStyle name="Normal 2 4 5 13" xfId="6429"/>
    <cellStyle name="Normal 2 4 5 14" xfId="12236"/>
    <cellStyle name="Normal 2 4 5 2" xfId="3104"/>
    <cellStyle name="Normal 2 4 5 2 2" xfId="3221"/>
    <cellStyle name="Normal 2 4 5 2 2 2" xfId="3457"/>
    <cellStyle name="Normal 2 4 5 2 2 2 2" xfId="4423"/>
    <cellStyle name="Normal 2 4 5 2 2 2 2 2" xfId="6098"/>
    <cellStyle name="Normal 2 4 5 2 2 2 2 2 2" xfId="9448"/>
    <cellStyle name="Normal 2 4 5 2 2 2 2 3" xfId="11123"/>
    <cellStyle name="Normal 2 4 5 2 2 2 2 4" xfId="7773"/>
    <cellStyle name="Normal 2 4 5 2 2 2 3" xfId="5131"/>
    <cellStyle name="Normal 2 4 5 2 2 2 3 2" xfId="8481"/>
    <cellStyle name="Normal 2 4 5 2 2 2 4" xfId="10156"/>
    <cellStyle name="Normal 2 4 5 2 2 2 5" xfId="6806"/>
    <cellStyle name="Normal 2 4 5 2 2 3" xfId="3692"/>
    <cellStyle name="Normal 2 4 5 2 2 3 2" xfId="4659"/>
    <cellStyle name="Normal 2 4 5 2 2 3 2 2" xfId="6334"/>
    <cellStyle name="Normal 2 4 5 2 2 3 2 2 2" xfId="9684"/>
    <cellStyle name="Normal 2 4 5 2 2 3 2 3" xfId="11359"/>
    <cellStyle name="Normal 2 4 5 2 2 3 2 4" xfId="8009"/>
    <cellStyle name="Normal 2 4 5 2 2 3 3" xfId="5367"/>
    <cellStyle name="Normal 2 4 5 2 2 3 3 2" xfId="8717"/>
    <cellStyle name="Normal 2 4 5 2 2 3 4" xfId="10392"/>
    <cellStyle name="Normal 2 4 5 2 2 3 5" xfId="7042"/>
    <cellStyle name="Normal 2 4 5 2 2 4" xfId="3928"/>
    <cellStyle name="Normal 2 4 5 2 2 4 2" xfId="5603"/>
    <cellStyle name="Normal 2 4 5 2 2 4 2 2" xfId="8953"/>
    <cellStyle name="Normal 2 4 5 2 2 4 3" xfId="10628"/>
    <cellStyle name="Normal 2 4 5 2 2 4 4" xfId="7278"/>
    <cellStyle name="Normal 2 4 5 2 2 5" xfId="4187"/>
    <cellStyle name="Normal 2 4 5 2 2 5 2" xfId="5862"/>
    <cellStyle name="Normal 2 4 5 2 2 5 2 2" xfId="9212"/>
    <cellStyle name="Normal 2 4 5 2 2 5 3" xfId="10887"/>
    <cellStyle name="Normal 2 4 5 2 2 5 4" xfId="7537"/>
    <cellStyle name="Normal 2 4 5 2 2 6" xfId="4895"/>
    <cellStyle name="Normal 2 4 5 2 2 6 2" xfId="8245"/>
    <cellStyle name="Normal 2 4 5 2 2 7" xfId="9920"/>
    <cellStyle name="Normal 2 4 5 2 2 8" xfId="6570"/>
    <cellStyle name="Normal 2 4 5 2 3" xfId="3339"/>
    <cellStyle name="Normal 2 4 5 2 3 2" xfId="4305"/>
    <cellStyle name="Normal 2 4 5 2 3 2 2" xfId="5980"/>
    <cellStyle name="Normal 2 4 5 2 3 2 2 2" xfId="9330"/>
    <cellStyle name="Normal 2 4 5 2 3 2 3" xfId="11005"/>
    <cellStyle name="Normal 2 4 5 2 3 2 4" xfId="7655"/>
    <cellStyle name="Normal 2 4 5 2 3 3" xfId="5013"/>
    <cellStyle name="Normal 2 4 5 2 3 3 2" xfId="8363"/>
    <cellStyle name="Normal 2 4 5 2 3 4" xfId="10038"/>
    <cellStyle name="Normal 2 4 5 2 3 5" xfId="6688"/>
    <cellStyle name="Normal 2 4 5 2 4" xfId="3574"/>
    <cellStyle name="Normal 2 4 5 2 4 2" xfId="4541"/>
    <cellStyle name="Normal 2 4 5 2 4 2 2" xfId="6216"/>
    <cellStyle name="Normal 2 4 5 2 4 2 2 2" xfId="9566"/>
    <cellStyle name="Normal 2 4 5 2 4 2 3" xfId="11241"/>
    <cellStyle name="Normal 2 4 5 2 4 2 4" xfId="7891"/>
    <cellStyle name="Normal 2 4 5 2 4 3" xfId="5249"/>
    <cellStyle name="Normal 2 4 5 2 4 3 2" xfId="8599"/>
    <cellStyle name="Normal 2 4 5 2 4 4" xfId="10274"/>
    <cellStyle name="Normal 2 4 5 2 4 5" xfId="6924"/>
    <cellStyle name="Normal 2 4 5 2 5" xfId="3810"/>
    <cellStyle name="Normal 2 4 5 2 5 2" xfId="5485"/>
    <cellStyle name="Normal 2 4 5 2 5 2 2" xfId="8835"/>
    <cellStyle name="Normal 2 4 5 2 5 3" xfId="10510"/>
    <cellStyle name="Normal 2 4 5 2 5 4" xfId="7160"/>
    <cellStyle name="Normal 2 4 5 2 6" xfId="4069"/>
    <cellStyle name="Normal 2 4 5 2 6 2" xfId="5744"/>
    <cellStyle name="Normal 2 4 5 2 6 2 2" xfId="9094"/>
    <cellStyle name="Normal 2 4 5 2 6 3" xfId="10769"/>
    <cellStyle name="Normal 2 4 5 2 6 4" xfId="7419"/>
    <cellStyle name="Normal 2 4 5 2 7" xfId="4777"/>
    <cellStyle name="Normal 2 4 5 2 7 2" xfId="8127"/>
    <cellStyle name="Normal 2 4 5 2 8" xfId="9802"/>
    <cellStyle name="Normal 2 4 5 2 9" xfId="6452"/>
    <cellStyle name="Normal 2 4 5 3" xfId="3127"/>
    <cellStyle name="Normal 2 4 5 3 2" xfId="3244"/>
    <cellStyle name="Normal 2 4 5 3 2 2" xfId="3480"/>
    <cellStyle name="Normal 2 4 5 3 2 2 2" xfId="4446"/>
    <cellStyle name="Normal 2 4 5 3 2 2 2 2" xfId="6121"/>
    <cellStyle name="Normal 2 4 5 3 2 2 2 2 2" xfId="9471"/>
    <cellStyle name="Normal 2 4 5 3 2 2 2 3" xfId="11146"/>
    <cellStyle name="Normal 2 4 5 3 2 2 2 4" xfId="7796"/>
    <cellStyle name="Normal 2 4 5 3 2 2 3" xfId="5154"/>
    <cellStyle name="Normal 2 4 5 3 2 2 3 2" xfId="8504"/>
    <cellStyle name="Normal 2 4 5 3 2 2 4" xfId="10179"/>
    <cellStyle name="Normal 2 4 5 3 2 2 5" xfId="6829"/>
    <cellStyle name="Normal 2 4 5 3 2 3" xfId="3715"/>
    <cellStyle name="Normal 2 4 5 3 2 3 2" xfId="4682"/>
    <cellStyle name="Normal 2 4 5 3 2 3 2 2" xfId="6357"/>
    <cellStyle name="Normal 2 4 5 3 2 3 2 2 2" xfId="9707"/>
    <cellStyle name="Normal 2 4 5 3 2 3 2 3" xfId="11382"/>
    <cellStyle name="Normal 2 4 5 3 2 3 2 4" xfId="8032"/>
    <cellStyle name="Normal 2 4 5 3 2 3 3" xfId="5390"/>
    <cellStyle name="Normal 2 4 5 3 2 3 3 2" xfId="8740"/>
    <cellStyle name="Normal 2 4 5 3 2 3 4" xfId="10415"/>
    <cellStyle name="Normal 2 4 5 3 2 3 5" xfId="7065"/>
    <cellStyle name="Normal 2 4 5 3 2 4" xfId="3951"/>
    <cellStyle name="Normal 2 4 5 3 2 4 2" xfId="5626"/>
    <cellStyle name="Normal 2 4 5 3 2 4 2 2" xfId="8976"/>
    <cellStyle name="Normal 2 4 5 3 2 4 3" xfId="10651"/>
    <cellStyle name="Normal 2 4 5 3 2 4 4" xfId="7301"/>
    <cellStyle name="Normal 2 4 5 3 2 5" xfId="4210"/>
    <cellStyle name="Normal 2 4 5 3 2 5 2" xfId="5885"/>
    <cellStyle name="Normal 2 4 5 3 2 5 2 2" xfId="9235"/>
    <cellStyle name="Normal 2 4 5 3 2 5 3" xfId="10910"/>
    <cellStyle name="Normal 2 4 5 3 2 5 4" xfId="7560"/>
    <cellStyle name="Normal 2 4 5 3 2 6" xfId="4918"/>
    <cellStyle name="Normal 2 4 5 3 2 6 2" xfId="8268"/>
    <cellStyle name="Normal 2 4 5 3 2 7" xfId="9943"/>
    <cellStyle name="Normal 2 4 5 3 2 8" xfId="6593"/>
    <cellStyle name="Normal 2 4 5 3 3" xfId="3362"/>
    <cellStyle name="Normal 2 4 5 3 3 2" xfId="4328"/>
    <cellStyle name="Normal 2 4 5 3 3 2 2" xfId="6003"/>
    <cellStyle name="Normal 2 4 5 3 3 2 2 2" xfId="9353"/>
    <cellStyle name="Normal 2 4 5 3 3 2 3" xfId="11028"/>
    <cellStyle name="Normal 2 4 5 3 3 2 4" xfId="7678"/>
    <cellStyle name="Normal 2 4 5 3 3 3" xfId="5036"/>
    <cellStyle name="Normal 2 4 5 3 3 3 2" xfId="8386"/>
    <cellStyle name="Normal 2 4 5 3 3 4" xfId="10061"/>
    <cellStyle name="Normal 2 4 5 3 3 5" xfId="6711"/>
    <cellStyle name="Normal 2 4 5 3 4" xfId="3597"/>
    <cellStyle name="Normal 2 4 5 3 4 2" xfId="4564"/>
    <cellStyle name="Normal 2 4 5 3 4 2 2" xfId="6239"/>
    <cellStyle name="Normal 2 4 5 3 4 2 2 2" xfId="9589"/>
    <cellStyle name="Normal 2 4 5 3 4 2 3" xfId="11264"/>
    <cellStyle name="Normal 2 4 5 3 4 2 4" xfId="7914"/>
    <cellStyle name="Normal 2 4 5 3 4 3" xfId="5272"/>
    <cellStyle name="Normal 2 4 5 3 4 3 2" xfId="8622"/>
    <cellStyle name="Normal 2 4 5 3 4 4" xfId="10297"/>
    <cellStyle name="Normal 2 4 5 3 4 5" xfId="6947"/>
    <cellStyle name="Normal 2 4 5 3 5" xfId="3833"/>
    <cellStyle name="Normal 2 4 5 3 5 2" xfId="5508"/>
    <cellStyle name="Normal 2 4 5 3 5 2 2" xfId="8858"/>
    <cellStyle name="Normal 2 4 5 3 5 3" xfId="10533"/>
    <cellStyle name="Normal 2 4 5 3 5 4" xfId="7183"/>
    <cellStyle name="Normal 2 4 5 3 6" xfId="4092"/>
    <cellStyle name="Normal 2 4 5 3 6 2" xfId="5767"/>
    <cellStyle name="Normal 2 4 5 3 6 2 2" xfId="9117"/>
    <cellStyle name="Normal 2 4 5 3 6 3" xfId="10792"/>
    <cellStyle name="Normal 2 4 5 3 6 4" xfId="7442"/>
    <cellStyle name="Normal 2 4 5 3 7" xfId="4800"/>
    <cellStyle name="Normal 2 4 5 3 7 2" xfId="8150"/>
    <cellStyle name="Normal 2 4 5 3 8" xfId="9825"/>
    <cellStyle name="Normal 2 4 5 3 9" xfId="6475"/>
    <cellStyle name="Normal 2 4 5 4" xfId="3150"/>
    <cellStyle name="Normal 2 4 5 4 2" xfId="3268"/>
    <cellStyle name="Normal 2 4 5 4 2 2" xfId="3504"/>
    <cellStyle name="Normal 2 4 5 4 2 2 2" xfId="4470"/>
    <cellStyle name="Normal 2 4 5 4 2 2 2 2" xfId="6145"/>
    <cellStyle name="Normal 2 4 5 4 2 2 2 2 2" xfId="9495"/>
    <cellStyle name="Normal 2 4 5 4 2 2 2 3" xfId="11170"/>
    <cellStyle name="Normal 2 4 5 4 2 2 2 4" xfId="7820"/>
    <cellStyle name="Normal 2 4 5 4 2 2 3" xfId="5178"/>
    <cellStyle name="Normal 2 4 5 4 2 2 3 2" xfId="8528"/>
    <cellStyle name="Normal 2 4 5 4 2 2 4" xfId="10203"/>
    <cellStyle name="Normal 2 4 5 4 2 2 5" xfId="6853"/>
    <cellStyle name="Normal 2 4 5 4 2 3" xfId="3739"/>
    <cellStyle name="Normal 2 4 5 4 2 3 2" xfId="4706"/>
    <cellStyle name="Normal 2 4 5 4 2 3 2 2" xfId="6381"/>
    <cellStyle name="Normal 2 4 5 4 2 3 2 2 2" xfId="9731"/>
    <cellStyle name="Normal 2 4 5 4 2 3 2 3" xfId="11406"/>
    <cellStyle name="Normal 2 4 5 4 2 3 2 4" xfId="8056"/>
    <cellStyle name="Normal 2 4 5 4 2 3 3" xfId="5414"/>
    <cellStyle name="Normal 2 4 5 4 2 3 3 2" xfId="8764"/>
    <cellStyle name="Normal 2 4 5 4 2 3 4" xfId="10439"/>
    <cellStyle name="Normal 2 4 5 4 2 3 5" xfId="7089"/>
    <cellStyle name="Normal 2 4 5 4 2 4" xfId="3975"/>
    <cellStyle name="Normal 2 4 5 4 2 4 2" xfId="5650"/>
    <cellStyle name="Normal 2 4 5 4 2 4 2 2" xfId="9000"/>
    <cellStyle name="Normal 2 4 5 4 2 4 3" xfId="10675"/>
    <cellStyle name="Normal 2 4 5 4 2 4 4" xfId="7325"/>
    <cellStyle name="Normal 2 4 5 4 2 5" xfId="4234"/>
    <cellStyle name="Normal 2 4 5 4 2 5 2" xfId="5909"/>
    <cellStyle name="Normal 2 4 5 4 2 5 2 2" xfId="9259"/>
    <cellStyle name="Normal 2 4 5 4 2 5 3" xfId="10934"/>
    <cellStyle name="Normal 2 4 5 4 2 5 4" xfId="7584"/>
    <cellStyle name="Normal 2 4 5 4 2 6" xfId="4942"/>
    <cellStyle name="Normal 2 4 5 4 2 6 2" xfId="8292"/>
    <cellStyle name="Normal 2 4 5 4 2 7" xfId="9967"/>
    <cellStyle name="Normal 2 4 5 4 2 8" xfId="6617"/>
    <cellStyle name="Normal 2 4 5 4 3" xfId="3386"/>
    <cellStyle name="Normal 2 4 5 4 3 2" xfId="4352"/>
    <cellStyle name="Normal 2 4 5 4 3 2 2" xfId="6027"/>
    <cellStyle name="Normal 2 4 5 4 3 2 2 2" xfId="9377"/>
    <cellStyle name="Normal 2 4 5 4 3 2 3" xfId="11052"/>
    <cellStyle name="Normal 2 4 5 4 3 2 4" xfId="7702"/>
    <cellStyle name="Normal 2 4 5 4 3 3" xfId="5060"/>
    <cellStyle name="Normal 2 4 5 4 3 3 2" xfId="8410"/>
    <cellStyle name="Normal 2 4 5 4 3 4" xfId="10085"/>
    <cellStyle name="Normal 2 4 5 4 3 5" xfId="6735"/>
    <cellStyle name="Normal 2 4 5 4 4" xfId="3621"/>
    <cellStyle name="Normal 2 4 5 4 4 2" xfId="4588"/>
    <cellStyle name="Normal 2 4 5 4 4 2 2" xfId="6263"/>
    <cellStyle name="Normal 2 4 5 4 4 2 2 2" xfId="9613"/>
    <cellStyle name="Normal 2 4 5 4 4 2 3" xfId="11288"/>
    <cellStyle name="Normal 2 4 5 4 4 2 4" xfId="7938"/>
    <cellStyle name="Normal 2 4 5 4 4 3" xfId="5296"/>
    <cellStyle name="Normal 2 4 5 4 4 3 2" xfId="8646"/>
    <cellStyle name="Normal 2 4 5 4 4 4" xfId="10321"/>
    <cellStyle name="Normal 2 4 5 4 4 5" xfId="6971"/>
    <cellStyle name="Normal 2 4 5 4 5" xfId="3857"/>
    <cellStyle name="Normal 2 4 5 4 5 2" xfId="5532"/>
    <cellStyle name="Normal 2 4 5 4 5 2 2" xfId="8882"/>
    <cellStyle name="Normal 2 4 5 4 5 3" xfId="10557"/>
    <cellStyle name="Normal 2 4 5 4 5 4" xfId="7207"/>
    <cellStyle name="Normal 2 4 5 4 6" xfId="4116"/>
    <cellStyle name="Normal 2 4 5 4 6 2" xfId="5791"/>
    <cellStyle name="Normal 2 4 5 4 6 2 2" xfId="9141"/>
    <cellStyle name="Normal 2 4 5 4 6 3" xfId="10816"/>
    <cellStyle name="Normal 2 4 5 4 6 4" xfId="7466"/>
    <cellStyle name="Normal 2 4 5 4 7" xfId="4824"/>
    <cellStyle name="Normal 2 4 5 4 7 2" xfId="8174"/>
    <cellStyle name="Normal 2 4 5 4 8" xfId="9849"/>
    <cellStyle name="Normal 2 4 5 4 9" xfId="6499"/>
    <cellStyle name="Normal 2 4 5 5" xfId="3174"/>
    <cellStyle name="Normal 2 4 5 5 2" xfId="3292"/>
    <cellStyle name="Normal 2 4 5 5 2 2" xfId="3528"/>
    <cellStyle name="Normal 2 4 5 5 2 2 2" xfId="4494"/>
    <cellStyle name="Normal 2 4 5 5 2 2 2 2" xfId="6169"/>
    <cellStyle name="Normal 2 4 5 5 2 2 2 2 2" xfId="9519"/>
    <cellStyle name="Normal 2 4 5 5 2 2 2 3" xfId="11194"/>
    <cellStyle name="Normal 2 4 5 5 2 2 2 4" xfId="7844"/>
    <cellStyle name="Normal 2 4 5 5 2 2 3" xfId="5202"/>
    <cellStyle name="Normal 2 4 5 5 2 2 3 2" xfId="8552"/>
    <cellStyle name="Normal 2 4 5 5 2 2 4" xfId="10227"/>
    <cellStyle name="Normal 2 4 5 5 2 2 5" xfId="6877"/>
    <cellStyle name="Normal 2 4 5 5 2 3" xfId="3763"/>
    <cellStyle name="Normal 2 4 5 5 2 3 2" xfId="4730"/>
    <cellStyle name="Normal 2 4 5 5 2 3 2 2" xfId="6405"/>
    <cellStyle name="Normal 2 4 5 5 2 3 2 2 2" xfId="9755"/>
    <cellStyle name="Normal 2 4 5 5 2 3 2 3" xfId="11430"/>
    <cellStyle name="Normal 2 4 5 5 2 3 2 4" xfId="8080"/>
    <cellStyle name="Normal 2 4 5 5 2 3 3" xfId="5438"/>
    <cellStyle name="Normal 2 4 5 5 2 3 3 2" xfId="8788"/>
    <cellStyle name="Normal 2 4 5 5 2 3 4" xfId="10463"/>
    <cellStyle name="Normal 2 4 5 5 2 3 5" xfId="7113"/>
    <cellStyle name="Normal 2 4 5 5 2 4" xfId="3999"/>
    <cellStyle name="Normal 2 4 5 5 2 4 2" xfId="5674"/>
    <cellStyle name="Normal 2 4 5 5 2 4 2 2" xfId="9024"/>
    <cellStyle name="Normal 2 4 5 5 2 4 3" xfId="10699"/>
    <cellStyle name="Normal 2 4 5 5 2 4 4" xfId="7349"/>
    <cellStyle name="Normal 2 4 5 5 2 5" xfId="4258"/>
    <cellStyle name="Normal 2 4 5 5 2 5 2" xfId="5933"/>
    <cellStyle name="Normal 2 4 5 5 2 5 2 2" xfId="9283"/>
    <cellStyle name="Normal 2 4 5 5 2 5 3" xfId="10958"/>
    <cellStyle name="Normal 2 4 5 5 2 5 4" xfId="7608"/>
    <cellStyle name="Normal 2 4 5 5 2 6" xfId="4966"/>
    <cellStyle name="Normal 2 4 5 5 2 6 2" xfId="8316"/>
    <cellStyle name="Normal 2 4 5 5 2 7" xfId="9991"/>
    <cellStyle name="Normal 2 4 5 5 2 8" xfId="6641"/>
    <cellStyle name="Normal 2 4 5 5 3" xfId="3410"/>
    <cellStyle name="Normal 2 4 5 5 3 2" xfId="4376"/>
    <cellStyle name="Normal 2 4 5 5 3 2 2" xfId="6051"/>
    <cellStyle name="Normal 2 4 5 5 3 2 2 2" xfId="9401"/>
    <cellStyle name="Normal 2 4 5 5 3 2 3" xfId="11076"/>
    <cellStyle name="Normal 2 4 5 5 3 2 4" xfId="7726"/>
    <cellStyle name="Normal 2 4 5 5 3 3" xfId="5084"/>
    <cellStyle name="Normal 2 4 5 5 3 3 2" xfId="8434"/>
    <cellStyle name="Normal 2 4 5 5 3 4" xfId="10109"/>
    <cellStyle name="Normal 2 4 5 5 3 5" xfId="6759"/>
    <cellStyle name="Normal 2 4 5 5 4" xfId="3645"/>
    <cellStyle name="Normal 2 4 5 5 4 2" xfId="4612"/>
    <cellStyle name="Normal 2 4 5 5 4 2 2" xfId="6287"/>
    <cellStyle name="Normal 2 4 5 5 4 2 2 2" xfId="9637"/>
    <cellStyle name="Normal 2 4 5 5 4 2 3" xfId="11312"/>
    <cellStyle name="Normal 2 4 5 5 4 2 4" xfId="7962"/>
    <cellStyle name="Normal 2 4 5 5 4 3" xfId="5320"/>
    <cellStyle name="Normal 2 4 5 5 4 3 2" xfId="8670"/>
    <cellStyle name="Normal 2 4 5 5 4 4" xfId="10345"/>
    <cellStyle name="Normal 2 4 5 5 4 5" xfId="6995"/>
    <cellStyle name="Normal 2 4 5 5 5" xfId="3881"/>
    <cellStyle name="Normal 2 4 5 5 5 2" xfId="5556"/>
    <cellStyle name="Normal 2 4 5 5 5 2 2" xfId="8906"/>
    <cellStyle name="Normal 2 4 5 5 5 3" xfId="10581"/>
    <cellStyle name="Normal 2 4 5 5 5 4" xfId="7231"/>
    <cellStyle name="Normal 2 4 5 5 6" xfId="4140"/>
    <cellStyle name="Normal 2 4 5 5 6 2" xfId="5815"/>
    <cellStyle name="Normal 2 4 5 5 6 2 2" xfId="9165"/>
    <cellStyle name="Normal 2 4 5 5 6 3" xfId="10840"/>
    <cellStyle name="Normal 2 4 5 5 6 4" xfId="7490"/>
    <cellStyle name="Normal 2 4 5 5 7" xfId="4848"/>
    <cellStyle name="Normal 2 4 5 5 7 2" xfId="8198"/>
    <cellStyle name="Normal 2 4 5 5 8" xfId="9873"/>
    <cellStyle name="Normal 2 4 5 5 9" xfId="6523"/>
    <cellStyle name="Normal 2 4 5 6" xfId="3198"/>
    <cellStyle name="Normal 2 4 5 6 2" xfId="3434"/>
    <cellStyle name="Normal 2 4 5 6 2 2" xfId="4400"/>
    <cellStyle name="Normal 2 4 5 6 2 2 2" xfId="6075"/>
    <cellStyle name="Normal 2 4 5 6 2 2 2 2" xfId="9425"/>
    <cellStyle name="Normal 2 4 5 6 2 2 3" xfId="11100"/>
    <cellStyle name="Normal 2 4 5 6 2 2 4" xfId="7750"/>
    <cellStyle name="Normal 2 4 5 6 2 3" xfId="5108"/>
    <cellStyle name="Normal 2 4 5 6 2 3 2" xfId="8458"/>
    <cellStyle name="Normal 2 4 5 6 2 4" xfId="10133"/>
    <cellStyle name="Normal 2 4 5 6 2 5" xfId="6783"/>
    <cellStyle name="Normal 2 4 5 6 3" xfId="3669"/>
    <cellStyle name="Normal 2 4 5 6 3 2" xfId="4636"/>
    <cellStyle name="Normal 2 4 5 6 3 2 2" xfId="6311"/>
    <cellStyle name="Normal 2 4 5 6 3 2 2 2" xfId="9661"/>
    <cellStyle name="Normal 2 4 5 6 3 2 3" xfId="11336"/>
    <cellStyle name="Normal 2 4 5 6 3 2 4" xfId="7986"/>
    <cellStyle name="Normal 2 4 5 6 3 3" xfId="5344"/>
    <cellStyle name="Normal 2 4 5 6 3 3 2" xfId="8694"/>
    <cellStyle name="Normal 2 4 5 6 3 4" xfId="10369"/>
    <cellStyle name="Normal 2 4 5 6 3 5" xfId="7019"/>
    <cellStyle name="Normal 2 4 5 6 4" xfId="3905"/>
    <cellStyle name="Normal 2 4 5 6 4 2" xfId="5580"/>
    <cellStyle name="Normal 2 4 5 6 4 2 2" xfId="8930"/>
    <cellStyle name="Normal 2 4 5 6 4 3" xfId="10605"/>
    <cellStyle name="Normal 2 4 5 6 4 4" xfId="7255"/>
    <cellStyle name="Normal 2 4 5 6 5" xfId="4164"/>
    <cellStyle name="Normal 2 4 5 6 5 2" xfId="5839"/>
    <cellStyle name="Normal 2 4 5 6 5 2 2" xfId="9189"/>
    <cellStyle name="Normal 2 4 5 6 5 3" xfId="10864"/>
    <cellStyle name="Normal 2 4 5 6 5 4" xfId="7514"/>
    <cellStyle name="Normal 2 4 5 6 6" xfId="4872"/>
    <cellStyle name="Normal 2 4 5 6 6 2" xfId="8222"/>
    <cellStyle name="Normal 2 4 5 6 7" xfId="9897"/>
    <cellStyle name="Normal 2 4 5 6 8" xfId="6547"/>
    <cellStyle name="Normal 2 4 5 7" xfId="3316"/>
    <cellStyle name="Normal 2 4 5 7 2" xfId="4282"/>
    <cellStyle name="Normal 2 4 5 7 2 2" xfId="5957"/>
    <cellStyle name="Normal 2 4 5 7 2 2 2" xfId="9307"/>
    <cellStyle name="Normal 2 4 5 7 2 3" xfId="10982"/>
    <cellStyle name="Normal 2 4 5 7 2 4" xfId="7632"/>
    <cellStyle name="Normal 2 4 5 7 3" xfId="4990"/>
    <cellStyle name="Normal 2 4 5 7 3 2" xfId="8340"/>
    <cellStyle name="Normal 2 4 5 7 4" xfId="10015"/>
    <cellStyle name="Normal 2 4 5 7 5" xfId="6665"/>
    <cellStyle name="Normal 2 4 5 8" xfId="3551"/>
    <cellStyle name="Normal 2 4 5 8 2" xfId="4518"/>
    <cellStyle name="Normal 2 4 5 8 2 2" xfId="6193"/>
    <cellStyle name="Normal 2 4 5 8 2 2 2" xfId="9543"/>
    <cellStyle name="Normal 2 4 5 8 2 3" xfId="11218"/>
    <cellStyle name="Normal 2 4 5 8 2 4" xfId="7868"/>
    <cellStyle name="Normal 2 4 5 8 3" xfId="5226"/>
    <cellStyle name="Normal 2 4 5 8 3 2" xfId="8576"/>
    <cellStyle name="Normal 2 4 5 8 4" xfId="10251"/>
    <cellStyle name="Normal 2 4 5 8 5" xfId="6901"/>
    <cellStyle name="Normal 2 4 5 9" xfId="3787"/>
    <cellStyle name="Normal 2 4 5 9 2" xfId="4046"/>
    <cellStyle name="Normal 2 4 5 9 2 2" xfId="5721"/>
    <cellStyle name="Normal 2 4 5 9 2 2 2" xfId="9071"/>
    <cellStyle name="Normal 2 4 5 9 2 3" xfId="10746"/>
    <cellStyle name="Normal 2 4 5 9 2 4" xfId="7396"/>
    <cellStyle name="Normal 2 4 5 9 3" xfId="5462"/>
    <cellStyle name="Normal 2 4 5 9 3 2" xfId="8812"/>
    <cellStyle name="Normal 2 4 5 9 4" xfId="10487"/>
    <cellStyle name="Normal 2 4 5 9 5" xfId="7137"/>
    <cellStyle name="Normal 2 4 6" xfId="2116"/>
    <cellStyle name="Normal 2 4 7" xfId="12097"/>
    <cellStyle name="Normal 2 5" xfId="293"/>
    <cellStyle name="Normal 2 5 2" xfId="2123"/>
    <cellStyle name="Normal 2 5 2 2" xfId="2424"/>
    <cellStyle name="Normal 2 5 2 3" xfId="2804"/>
    <cellStyle name="Normal 2 5 3" xfId="2647"/>
    <cellStyle name="Normal 2 6" xfId="2124"/>
    <cellStyle name="Normal 2 6 2" xfId="2125"/>
    <cellStyle name="Normal 2 6 2 2" xfId="2648"/>
    <cellStyle name="Normal 2 6 2 2 2" xfId="2843"/>
    <cellStyle name="Normal 2 6 2 3" xfId="2806"/>
    <cellStyle name="Normal 2 6 3" xfId="2126"/>
    <cellStyle name="Normal 2 6 4" xfId="2649"/>
    <cellStyle name="Normal 2 6 4 2" xfId="2844"/>
    <cellStyle name="Normal 2 6 5" xfId="2805"/>
    <cellStyle name="Normal 2 6 6" xfId="12098"/>
    <cellStyle name="Normal 2 7" xfId="2127"/>
    <cellStyle name="Normal 2 7 2" xfId="2650"/>
    <cellStyle name="Normal 2 7 2 2" xfId="2845"/>
    <cellStyle name="Normal 2 7 3" xfId="2807"/>
    <cellStyle name="Normal 2 8" xfId="2128"/>
    <cellStyle name="Normal 2 8 10" xfId="3552"/>
    <cellStyle name="Normal 2 8 10 2" xfId="4519"/>
    <cellStyle name="Normal 2 8 10 2 2" xfId="6194"/>
    <cellStyle name="Normal 2 8 10 2 2 2" xfId="9544"/>
    <cellStyle name="Normal 2 8 10 2 3" xfId="11219"/>
    <cellStyle name="Normal 2 8 10 2 4" xfId="7869"/>
    <cellStyle name="Normal 2 8 10 3" xfId="5227"/>
    <cellStyle name="Normal 2 8 10 3 2" xfId="8577"/>
    <cellStyle name="Normal 2 8 10 4" xfId="10252"/>
    <cellStyle name="Normal 2 8 10 5" xfId="6902"/>
    <cellStyle name="Normal 2 8 11" xfId="3788"/>
    <cellStyle name="Normal 2 8 11 2" xfId="4047"/>
    <cellStyle name="Normal 2 8 11 2 2" xfId="5722"/>
    <cellStyle name="Normal 2 8 11 2 2 2" xfId="9072"/>
    <cellStyle name="Normal 2 8 11 2 3" xfId="10747"/>
    <cellStyle name="Normal 2 8 11 2 4" xfId="7397"/>
    <cellStyle name="Normal 2 8 11 3" xfId="5463"/>
    <cellStyle name="Normal 2 8 11 3 2" xfId="8813"/>
    <cellStyle name="Normal 2 8 11 4" xfId="10488"/>
    <cellStyle name="Normal 2 8 11 5" xfId="7138"/>
    <cellStyle name="Normal 2 8 12" xfId="4024"/>
    <cellStyle name="Normal 2 8 12 2" xfId="5699"/>
    <cellStyle name="Normal 2 8 12 2 2" xfId="9049"/>
    <cellStyle name="Normal 2 8 12 3" xfId="10724"/>
    <cellStyle name="Normal 2 8 12 4" xfId="7374"/>
    <cellStyle name="Normal 2 8 13" xfId="4755"/>
    <cellStyle name="Normal 2 8 13 2" xfId="8105"/>
    <cellStyle name="Normal 2 8 14" xfId="9780"/>
    <cellStyle name="Normal 2 8 15" xfId="6430"/>
    <cellStyle name="Normal 2 8 16" xfId="12237"/>
    <cellStyle name="Normal 2 8 2" xfId="2129"/>
    <cellStyle name="Normal 2 8 2 2" xfId="2130"/>
    <cellStyle name="Normal 2 8 2 2 10" xfId="4025"/>
    <cellStyle name="Normal 2 8 2 2 10 2" xfId="5700"/>
    <cellStyle name="Normal 2 8 2 2 10 2 2" xfId="9050"/>
    <cellStyle name="Normal 2 8 2 2 10 3" xfId="10725"/>
    <cellStyle name="Normal 2 8 2 2 10 4" xfId="7375"/>
    <cellStyle name="Normal 2 8 2 2 11" xfId="4756"/>
    <cellStyle name="Normal 2 8 2 2 11 2" xfId="8106"/>
    <cellStyle name="Normal 2 8 2 2 12" xfId="9781"/>
    <cellStyle name="Normal 2 8 2 2 13" xfId="6431"/>
    <cellStyle name="Normal 2 8 2 2 14" xfId="12238"/>
    <cellStyle name="Normal 2 8 2 2 2" xfId="3106"/>
    <cellStyle name="Normal 2 8 2 2 2 2" xfId="3223"/>
    <cellStyle name="Normal 2 8 2 2 2 2 2" xfId="3459"/>
    <cellStyle name="Normal 2 8 2 2 2 2 2 2" xfId="4425"/>
    <cellStyle name="Normal 2 8 2 2 2 2 2 2 2" xfId="6100"/>
    <cellStyle name="Normal 2 8 2 2 2 2 2 2 2 2" xfId="9450"/>
    <cellStyle name="Normal 2 8 2 2 2 2 2 2 3" xfId="11125"/>
    <cellStyle name="Normal 2 8 2 2 2 2 2 2 4" xfId="7775"/>
    <cellStyle name="Normal 2 8 2 2 2 2 2 3" xfId="5133"/>
    <cellStyle name="Normal 2 8 2 2 2 2 2 3 2" xfId="8483"/>
    <cellStyle name="Normal 2 8 2 2 2 2 2 4" xfId="10158"/>
    <cellStyle name="Normal 2 8 2 2 2 2 2 5" xfId="6808"/>
    <cellStyle name="Normal 2 8 2 2 2 2 3" xfId="3694"/>
    <cellStyle name="Normal 2 8 2 2 2 2 3 2" xfId="4661"/>
    <cellStyle name="Normal 2 8 2 2 2 2 3 2 2" xfId="6336"/>
    <cellStyle name="Normal 2 8 2 2 2 2 3 2 2 2" xfId="9686"/>
    <cellStyle name="Normal 2 8 2 2 2 2 3 2 3" xfId="11361"/>
    <cellStyle name="Normal 2 8 2 2 2 2 3 2 4" xfId="8011"/>
    <cellStyle name="Normal 2 8 2 2 2 2 3 3" xfId="5369"/>
    <cellStyle name="Normal 2 8 2 2 2 2 3 3 2" xfId="8719"/>
    <cellStyle name="Normal 2 8 2 2 2 2 3 4" xfId="10394"/>
    <cellStyle name="Normal 2 8 2 2 2 2 3 5" xfId="7044"/>
    <cellStyle name="Normal 2 8 2 2 2 2 4" xfId="3930"/>
    <cellStyle name="Normal 2 8 2 2 2 2 4 2" xfId="5605"/>
    <cellStyle name="Normal 2 8 2 2 2 2 4 2 2" xfId="8955"/>
    <cellStyle name="Normal 2 8 2 2 2 2 4 3" xfId="10630"/>
    <cellStyle name="Normal 2 8 2 2 2 2 4 4" xfId="7280"/>
    <cellStyle name="Normal 2 8 2 2 2 2 5" xfId="4189"/>
    <cellStyle name="Normal 2 8 2 2 2 2 5 2" xfId="5864"/>
    <cellStyle name="Normal 2 8 2 2 2 2 5 2 2" xfId="9214"/>
    <cellStyle name="Normal 2 8 2 2 2 2 5 3" xfId="10889"/>
    <cellStyle name="Normal 2 8 2 2 2 2 5 4" xfId="7539"/>
    <cellStyle name="Normal 2 8 2 2 2 2 6" xfId="4897"/>
    <cellStyle name="Normal 2 8 2 2 2 2 6 2" xfId="8247"/>
    <cellStyle name="Normal 2 8 2 2 2 2 7" xfId="9922"/>
    <cellStyle name="Normal 2 8 2 2 2 2 8" xfId="6572"/>
    <cellStyle name="Normal 2 8 2 2 2 3" xfId="3341"/>
    <cellStyle name="Normal 2 8 2 2 2 3 2" xfId="4307"/>
    <cellStyle name="Normal 2 8 2 2 2 3 2 2" xfId="5982"/>
    <cellStyle name="Normal 2 8 2 2 2 3 2 2 2" xfId="9332"/>
    <cellStyle name="Normal 2 8 2 2 2 3 2 3" xfId="11007"/>
    <cellStyle name="Normal 2 8 2 2 2 3 2 4" xfId="7657"/>
    <cellStyle name="Normal 2 8 2 2 2 3 3" xfId="5015"/>
    <cellStyle name="Normal 2 8 2 2 2 3 3 2" xfId="8365"/>
    <cellStyle name="Normal 2 8 2 2 2 3 4" xfId="10040"/>
    <cellStyle name="Normal 2 8 2 2 2 3 5" xfId="6690"/>
    <cellStyle name="Normal 2 8 2 2 2 4" xfId="3576"/>
    <cellStyle name="Normal 2 8 2 2 2 4 2" xfId="4543"/>
    <cellStyle name="Normal 2 8 2 2 2 4 2 2" xfId="6218"/>
    <cellStyle name="Normal 2 8 2 2 2 4 2 2 2" xfId="9568"/>
    <cellStyle name="Normal 2 8 2 2 2 4 2 3" xfId="11243"/>
    <cellStyle name="Normal 2 8 2 2 2 4 2 4" xfId="7893"/>
    <cellStyle name="Normal 2 8 2 2 2 4 3" xfId="5251"/>
    <cellStyle name="Normal 2 8 2 2 2 4 3 2" xfId="8601"/>
    <cellStyle name="Normal 2 8 2 2 2 4 4" xfId="10276"/>
    <cellStyle name="Normal 2 8 2 2 2 4 5" xfId="6926"/>
    <cellStyle name="Normal 2 8 2 2 2 5" xfId="3812"/>
    <cellStyle name="Normal 2 8 2 2 2 5 2" xfId="5487"/>
    <cellStyle name="Normal 2 8 2 2 2 5 2 2" xfId="8837"/>
    <cellStyle name="Normal 2 8 2 2 2 5 3" xfId="10512"/>
    <cellStyle name="Normal 2 8 2 2 2 5 4" xfId="7162"/>
    <cellStyle name="Normal 2 8 2 2 2 6" xfId="4071"/>
    <cellStyle name="Normal 2 8 2 2 2 6 2" xfId="5746"/>
    <cellStyle name="Normal 2 8 2 2 2 6 2 2" xfId="9096"/>
    <cellStyle name="Normal 2 8 2 2 2 6 3" xfId="10771"/>
    <cellStyle name="Normal 2 8 2 2 2 6 4" xfId="7421"/>
    <cellStyle name="Normal 2 8 2 2 2 7" xfId="4779"/>
    <cellStyle name="Normal 2 8 2 2 2 7 2" xfId="8129"/>
    <cellStyle name="Normal 2 8 2 2 2 8" xfId="9804"/>
    <cellStyle name="Normal 2 8 2 2 2 9" xfId="6454"/>
    <cellStyle name="Normal 2 8 2 2 3" xfId="3129"/>
    <cellStyle name="Normal 2 8 2 2 3 2" xfId="3246"/>
    <cellStyle name="Normal 2 8 2 2 3 2 2" xfId="3482"/>
    <cellStyle name="Normal 2 8 2 2 3 2 2 2" xfId="4448"/>
    <cellStyle name="Normal 2 8 2 2 3 2 2 2 2" xfId="6123"/>
    <cellStyle name="Normal 2 8 2 2 3 2 2 2 2 2" xfId="9473"/>
    <cellStyle name="Normal 2 8 2 2 3 2 2 2 3" xfId="11148"/>
    <cellStyle name="Normal 2 8 2 2 3 2 2 2 4" xfId="7798"/>
    <cellStyle name="Normal 2 8 2 2 3 2 2 3" xfId="5156"/>
    <cellStyle name="Normal 2 8 2 2 3 2 2 3 2" xfId="8506"/>
    <cellStyle name="Normal 2 8 2 2 3 2 2 4" xfId="10181"/>
    <cellStyle name="Normal 2 8 2 2 3 2 2 5" xfId="6831"/>
    <cellStyle name="Normal 2 8 2 2 3 2 3" xfId="3717"/>
    <cellStyle name="Normal 2 8 2 2 3 2 3 2" xfId="4684"/>
    <cellStyle name="Normal 2 8 2 2 3 2 3 2 2" xfId="6359"/>
    <cellStyle name="Normal 2 8 2 2 3 2 3 2 2 2" xfId="9709"/>
    <cellStyle name="Normal 2 8 2 2 3 2 3 2 3" xfId="11384"/>
    <cellStyle name="Normal 2 8 2 2 3 2 3 2 4" xfId="8034"/>
    <cellStyle name="Normal 2 8 2 2 3 2 3 3" xfId="5392"/>
    <cellStyle name="Normal 2 8 2 2 3 2 3 3 2" xfId="8742"/>
    <cellStyle name="Normal 2 8 2 2 3 2 3 4" xfId="10417"/>
    <cellStyle name="Normal 2 8 2 2 3 2 3 5" xfId="7067"/>
    <cellStyle name="Normal 2 8 2 2 3 2 4" xfId="3953"/>
    <cellStyle name="Normal 2 8 2 2 3 2 4 2" xfId="5628"/>
    <cellStyle name="Normal 2 8 2 2 3 2 4 2 2" xfId="8978"/>
    <cellStyle name="Normal 2 8 2 2 3 2 4 3" xfId="10653"/>
    <cellStyle name="Normal 2 8 2 2 3 2 4 4" xfId="7303"/>
    <cellStyle name="Normal 2 8 2 2 3 2 5" xfId="4212"/>
    <cellStyle name="Normal 2 8 2 2 3 2 5 2" xfId="5887"/>
    <cellStyle name="Normal 2 8 2 2 3 2 5 2 2" xfId="9237"/>
    <cellStyle name="Normal 2 8 2 2 3 2 5 3" xfId="10912"/>
    <cellStyle name="Normal 2 8 2 2 3 2 5 4" xfId="7562"/>
    <cellStyle name="Normal 2 8 2 2 3 2 6" xfId="4920"/>
    <cellStyle name="Normal 2 8 2 2 3 2 6 2" xfId="8270"/>
    <cellStyle name="Normal 2 8 2 2 3 2 7" xfId="9945"/>
    <cellStyle name="Normal 2 8 2 2 3 2 8" xfId="6595"/>
    <cellStyle name="Normal 2 8 2 2 3 3" xfId="3364"/>
    <cellStyle name="Normal 2 8 2 2 3 3 2" xfId="4330"/>
    <cellStyle name="Normal 2 8 2 2 3 3 2 2" xfId="6005"/>
    <cellStyle name="Normal 2 8 2 2 3 3 2 2 2" xfId="9355"/>
    <cellStyle name="Normal 2 8 2 2 3 3 2 3" xfId="11030"/>
    <cellStyle name="Normal 2 8 2 2 3 3 2 4" xfId="7680"/>
    <cellStyle name="Normal 2 8 2 2 3 3 3" xfId="5038"/>
    <cellStyle name="Normal 2 8 2 2 3 3 3 2" xfId="8388"/>
    <cellStyle name="Normal 2 8 2 2 3 3 4" xfId="10063"/>
    <cellStyle name="Normal 2 8 2 2 3 3 5" xfId="6713"/>
    <cellStyle name="Normal 2 8 2 2 3 4" xfId="3599"/>
    <cellStyle name="Normal 2 8 2 2 3 4 2" xfId="4566"/>
    <cellStyle name="Normal 2 8 2 2 3 4 2 2" xfId="6241"/>
    <cellStyle name="Normal 2 8 2 2 3 4 2 2 2" xfId="9591"/>
    <cellStyle name="Normal 2 8 2 2 3 4 2 3" xfId="11266"/>
    <cellStyle name="Normal 2 8 2 2 3 4 2 4" xfId="7916"/>
    <cellStyle name="Normal 2 8 2 2 3 4 3" xfId="5274"/>
    <cellStyle name="Normal 2 8 2 2 3 4 3 2" xfId="8624"/>
    <cellStyle name="Normal 2 8 2 2 3 4 4" xfId="10299"/>
    <cellStyle name="Normal 2 8 2 2 3 4 5" xfId="6949"/>
    <cellStyle name="Normal 2 8 2 2 3 5" xfId="3835"/>
    <cellStyle name="Normal 2 8 2 2 3 5 2" xfId="5510"/>
    <cellStyle name="Normal 2 8 2 2 3 5 2 2" xfId="8860"/>
    <cellStyle name="Normal 2 8 2 2 3 5 3" xfId="10535"/>
    <cellStyle name="Normal 2 8 2 2 3 5 4" xfId="7185"/>
    <cellStyle name="Normal 2 8 2 2 3 6" xfId="4094"/>
    <cellStyle name="Normal 2 8 2 2 3 6 2" xfId="5769"/>
    <cellStyle name="Normal 2 8 2 2 3 6 2 2" xfId="9119"/>
    <cellStyle name="Normal 2 8 2 2 3 6 3" xfId="10794"/>
    <cellStyle name="Normal 2 8 2 2 3 6 4" xfId="7444"/>
    <cellStyle name="Normal 2 8 2 2 3 7" xfId="4802"/>
    <cellStyle name="Normal 2 8 2 2 3 7 2" xfId="8152"/>
    <cellStyle name="Normal 2 8 2 2 3 8" xfId="9827"/>
    <cellStyle name="Normal 2 8 2 2 3 9" xfId="6477"/>
    <cellStyle name="Normal 2 8 2 2 4" xfId="3152"/>
    <cellStyle name="Normal 2 8 2 2 4 2" xfId="3270"/>
    <cellStyle name="Normal 2 8 2 2 4 2 2" xfId="3506"/>
    <cellStyle name="Normal 2 8 2 2 4 2 2 2" xfId="4472"/>
    <cellStyle name="Normal 2 8 2 2 4 2 2 2 2" xfId="6147"/>
    <cellStyle name="Normal 2 8 2 2 4 2 2 2 2 2" xfId="9497"/>
    <cellStyle name="Normal 2 8 2 2 4 2 2 2 3" xfId="11172"/>
    <cellStyle name="Normal 2 8 2 2 4 2 2 2 4" xfId="7822"/>
    <cellStyle name="Normal 2 8 2 2 4 2 2 3" xfId="5180"/>
    <cellStyle name="Normal 2 8 2 2 4 2 2 3 2" xfId="8530"/>
    <cellStyle name="Normal 2 8 2 2 4 2 2 4" xfId="10205"/>
    <cellStyle name="Normal 2 8 2 2 4 2 2 5" xfId="6855"/>
    <cellStyle name="Normal 2 8 2 2 4 2 3" xfId="3741"/>
    <cellStyle name="Normal 2 8 2 2 4 2 3 2" xfId="4708"/>
    <cellStyle name="Normal 2 8 2 2 4 2 3 2 2" xfId="6383"/>
    <cellStyle name="Normal 2 8 2 2 4 2 3 2 2 2" xfId="9733"/>
    <cellStyle name="Normal 2 8 2 2 4 2 3 2 3" xfId="11408"/>
    <cellStyle name="Normal 2 8 2 2 4 2 3 2 4" xfId="8058"/>
    <cellStyle name="Normal 2 8 2 2 4 2 3 3" xfId="5416"/>
    <cellStyle name="Normal 2 8 2 2 4 2 3 3 2" xfId="8766"/>
    <cellStyle name="Normal 2 8 2 2 4 2 3 4" xfId="10441"/>
    <cellStyle name="Normal 2 8 2 2 4 2 3 5" xfId="7091"/>
    <cellStyle name="Normal 2 8 2 2 4 2 4" xfId="3977"/>
    <cellStyle name="Normal 2 8 2 2 4 2 4 2" xfId="5652"/>
    <cellStyle name="Normal 2 8 2 2 4 2 4 2 2" xfId="9002"/>
    <cellStyle name="Normal 2 8 2 2 4 2 4 3" xfId="10677"/>
    <cellStyle name="Normal 2 8 2 2 4 2 4 4" xfId="7327"/>
    <cellStyle name="Normal 2 8 2 2 4 2 5" xfId="4236"/>
    <cellStyle name="Normal 2 8 2 2 4 2 5 2" xfId="5911"/>
    <cellStyle name="Normal 2 8 2 2 4 2 5 2 2" xfId="9261"/>
    <cellStyle name="Normal 2 8 2 2 4 2 5 3" xfId="10936"/>
    <cellStyle name="Normal 2 8 2 2 4 2 5 4" xfId="7586"/>
    <cellStyle name="Normal 2 8 2 2 4 2 6" xfId="4944"/>
    <cellStyle name="Normal 2 8 2 2 4 2 6 2" xfId="8294"/>
    <cellStyle name="Normal 2 8 2 2 4 2 7" xfId="9969"/>
    <cellStyle name="Normal 2 8 2 2 4 2 8" xfId="6619"/>
    <cellStyle name="Normal 2 8 2 2 4 3" xfId="3388"/>
    <cellStyle name="Normal 2 8 2 2 4 3 2" xfId="4354"/>
    <cellStyle name="Normal 2 8 2 2 4 3 2 2" xfId="6029"/>
    <cellStyle name="Normal 2 8 2 2 4 3 2 2 2" xfId="9379"/>
    <cellStyle name="Normal 2 8 2 2 4 3 2 3" xfId="11054"/>
    <cellStyle name="Normal 2 8 2 2 4 3 2 4" xfId="7704"/>
    <cellStyle name="Normal 2 8 2 2 4 3 3" xfId="5062"/>
    <cellStyle name="Normal 2 8 2 2 4 3 3 2" xfId="8412"/>
    <cellStyle name="Normal 2 8 2 2 4 3 4" xfId="10087"/>
    <cellStyle name="Normal 2 8 2 2 4 3 5" xfId="6737"/>
    <cellStyle name="Normal 2 8 2 2 4 4" xfId="3623"/>
    <cellStyle name="Normal 2 8 2 2 4 4 2" xfId="4590"/>
    <cellStyle name="Normal 2 8 2 2 4 4 2 2" xfId="6265"/>
    <cellStyle name="Normal 2 8 2 2 4 4 2 2 2" xfId="9615"/>
    <cellStyle name="Normal 2 8 2 2 4 4 2 3" xfId="11290"/>
    <cellStyle name="Normal 2 8 2 2 4 4 2 4" xfId="7940"/>
    <cellStyle name="Normal 2 8 2 2 4 4 3" xfId="5298"/>
    <cellStyle name="Normal 2 8 2 2 4 4 3 2" xfId="8648"/>
    <cellStyle name="Normal 2 8 2 2 4 4 4" xfId="10323"/>
    <cellStyle name="Normal 2 8 2 2 4 4 5" xfId="6973"/>
    <cellStyle name="Normal 2 8 2 2 4 5" xfId="3859"/>
    <cellStyle name="Normal 2 8 2 2 4 5 2" xfId="5534"/>
    <cellStyle name="Normal 2 8 2 2 4 5 2 2" xfId="8884"/>
    <cellStyle name="Normal 2 8 2 2 4 5 3" xfId="10559"/>
    <cellStyle name="Normal 2 8 2 2 4 5 4" xfId="7209"/>
    <cellStyle name="Normal 2 8 2 2 4 6" xfId="4118"/>
    <cellStyle name="Normal 2 8 2 2 4 6 2" xfId="5793"/>
    <cellStyle name="Normal 2 8 2 2 4 6 2 2" xfId="9143"/>
    <cellStyle name="Normal 2 8 2 2 4 6 3" xfId="10818"/>
    <cellStyle name="Normal 2 8 2 2 4 6 4" xfId="7468"/>
    <cellStyle name="Normal 2 8 2 2 4 7" xfId="4826"/>
    <cellStyle name="Normal 2 8 2 2 4 7 2" xfId="8176"/>
    <cellStyle name="Normal 2 8 2 2 4 8" xfId="9851"/>
    <cellStyle name="Normal 2 8 2 2 4 9" xfId="6501"/>
    <cellStyle name="Normal 2 8 2 2 5" xfId="3176"/>
    <cellStyle name="Normal 2 8 2 2 5 2" xfId="3294"/>
    <cellStyle name="Normal 2 8 2 2 5 2 2" xfId="3530"/>
    <cellStyle name="Normal 2 8 2 2 5 2 2 2" xfId="4496"/>
    <cellStyle name="Normal 2 8 2 2 5 2 2 2 2" xfId="6171"/>
    <cellStyle name="Normal 2 8 2 2 5 2 2 2 2 2" xfId="9521"/>
    <cellStyle name="Normal 2 8 2 2 5 2 2 2 3" xfId="11196"/>
    <cellStyle name="Normal 2 8 2 2 5 2 2 2 4" xfId="7846"/>
    <cellStyle name="Normal 2 8 2 2 5 2 2 3" xfId="5204"/>
    <cellStyle name="Normal 2 8 2 2 5 2 2 3 2" xfId="8554"/>
    <cellStyle name="Normal 2 8 2 2 5 2 2 4" xfId="10229"/>
    <cellStyle name="Normal 2 8 2 2 5 2 2 5" xfId="6879"/>
    <cellStyle name="Normal 2 8 2 2 5 2 3" xfId="3765"/>
    <cellStyle name="Normal 2 8 2 2 5 2 3 2" xfId="4732"/>
    <cellStyle name="Normal 2 8 2 2 5 2 3 2 2" xfId="6407"/>
    <cellStyle name="Normal 2 8 2 2 5 2 3 2 2 2" xfId="9757"/>
    <cellStyle name="Normal 2 8 2 2 5 2 3 2 3" xfId="11432"/>
    <cellStyle name="Normal 2 8 2 2 5 2 3 2 4" xfId="8082"/>
    <cellStyle name="Normal 2 8 2 2 5 2 3 3" xfId="5440"/>
    <cellStyle name="Normal 2 8 2 2 5 2 3 3 2" xfId="8790"/>
    <cellStyle name="Normal 2 8 2 2 5 2 3 4" xfId="10465"/>
    <cellStyle name="Normal 2 8 2 2 5 2 3 5" xfId="7115"/>
    <cellStyle name="Normal 2 8 2 2 5 2 4" xfId="4001"/>
    <cellStyle name="Normal 2 8 2 2 5 2 4 2" xfId="5676"/>
    <cellStyle name="Normal 2 8 2 2 5 2 4 2 2" xfId="9026"/>
    <cellStyle name="Normal 2 8 2 2 5 2 4 3" xfId="10701"/>
    <cellStyle name="Normal 2 8 2 2 5 2 4 4" xfId="7351"/>
    <cellStyle name="Normal 2 8 2 2 5 2 5" xfId="4260"/>
    <cellStyle name="Normal 2 8 2 2 5 2 5 2" xfId="5935"/>
    <cellStyle name="Normal 2 8 2 2 5 2 5 2 2" xfId="9285"/>
    <cellStyle name="Normal 2 8 2 2 5 2 5 3" xfId="10960"/>
    <cellStyle name="Normal 2 8 2 2 5 2 5 4" xfId="7610"/>
    <cellStyle name="Normal 2 8 2 2 5 2 6" xfId="4968"/>
    <cellStyle name="Normal 2 8 2 2 5 2 6 2" xfId="8318"/>
    <cellStyle name="Normal 2 8 2 2 5 2 7" xfId="9993"/>
    <cellStyle name="Normal 2 8 2 2 5 2 8" xfId="6643"/>
    <cellStyle name="Normal 2 8 2 2 5 3" xfId="3412"/>
    <cellStyle name="Normal 2 8 2 2 5 3 2" xfId="4378"/>
    <cellStyle name="Normal 2 8 2 2 5 3 2 2" xfId="6053"/>
    <cellStyle name="Normal 2 8 2 2 5 3 2 2 2" xfId="9403"/>
    <cellStyle name="Normal 2 8 2 2 5 3 2 3" xfId="11078"/>
    <cellStyle name="Normal 2 8 2 2 5 3 2 4" xfId="7728"/>
    <cellStyle name="Normal 2 8 2 2 5 3 3" xfId="5086"/>
    <cellStyle name="Normal 2 8 2 2 5 3 3 2" xfId="8436"/>
    <cellStyle name="Normal 2 8 2 2 5 3 4" xfId="10111"/>
    <cellStyle name="Normal 2 8 2 2 5 3 5" xfId="6761"/>
    <cellStyle name="Normal 2 8 2 2 5 4" xfId="3647"/>
    <cellStyle name="Normal 2 8 2 2 5 4 2" xfId="4614"/>
    <cellStyle name="Normal 2 8 2 2 5 4 2 2" xfId="6289"/>
    <cellStyle name="Normal 2 8 2 2 5 4 2 2 2" xfId="9639"/>
    <cellStyle name="Normal 2 8 2 2 5 4 2 3" xfId="11314"/>
    <cellStyle name="Normal 2 8 2 2 5 4 2 4" xfId="7964"/>
    <cellStyle name="Normal 2 8 2 2 5 4 3" xfId="5322"/>
    <cellStyle name="Normal 2 8 2 2 5 4 3 2" xfId="8672"/>
    <cellStyle name="Normal 2 8 2 2 5 4 4" xfId="10347"/>
    <cellStyle name="Normal 2 8 2 2 5 4 5" xfId="6997"/>
    <cellStyle name="Normal 2 8 2 2 5 5" xfId="3883"/>
    <cellStyle name="Normal 2 8 2 2 5 5 2" xfId="5558"/>
    <cellStyle name="Normal 2 8 2 2 5 5 2 2" xfId="8908"/>
    <cellStyle name="Normal 2 8 2 2 5 5 3" xfId="10583"/>
    <cellStyle name="Normal 2 8 2 2 5 5 4" xfId="7233"/>
    <cellStyle name="Normal 2 8 2 2 5 6" xfId="4142"/>
    <cellStyle name="Normal 2 8 2 2 5 6 2" xfId="5817"/>
    <cellStyle name="Normal 2 8 2 2 5 6 2 2" xfId="9167"/>
    <cellStyle name="Normal 2 8 2 2 5 6 3" xfId="10842"/>
    <cellStyle name="Normal 2 8 2 2 5 6 4" xfId="7492"/>
    <cellStyle name="Normal 2 8 2 2 5 7" xfId="4850"/>
    <cellStyle name="Normal 2 8 2 2 5 7 2" xfId="8200"/>
    <cellStyle name="Normal 2 8 2 2 5 8" xfId="9875"/>
    <cellStyle name="Normal 2 8 2 2 5 9" xfId="6525"/>
    <cellStyle name="Normal 2 8 2 2 6" xfId="3200"/>
    <cellStyle name="Normal 2 8 2 2 6 2" xfId="3436"/>
    <cellStyle name="Normal 2 8 2 2 6 2 2" xfId="4402"/>
    <cellStyle name="Normal 2 8 2 2 6 2 2 2" xfId="6077"/>
    <cellStyle name="Normal 2 8 2 2 6 2 2 2 2" xfId="9427"/>
    <cellStyle name="Normal 2 8 2 2 6 2 2 3" xfId="11102"/>
    <cellStyle name="Normal 2 8 2 2 6 2 2 4" xfId="7752"/>
    <cellStyle name="Normal 2 8 2 2 6 2 3" xfId="5110"/>
    <cellStyle name="Normal 2 8 2 2 6 2 3 2" xfId="8460"/>
    <cellStyle name="Normal 2 8 2 2 6 2 4" xfId="10135"/>
    <cellStyle name="Normal 2 8 2 2 6 2 5" xfId="6785"/>
    <cellStyle name="Normal 2 8 2 2 6 3" xfId="3671"/>
    <cellStyle name="Normal 2 8 2 2 6 3 2" xfId="4638"/>
    <cellStyle name="Normal 2 8 2 2 6 3 2 2" xfId="6313"/>
    <cellStyle name="Normal 2 8 2 2 6 3 2 2 2" xfId="9663"/>
    <cellStyle name="Normal 2 8 2 2 6 3 2 3" xfId="11338"/>
    <cellStyle name="Normal 2 8 2 2 6 3 2 4" xfId="7988"/>
    <cellStyle name="Normal 2 8 2 2 6 3 3" xfId="5346"/>
    <cellStyle name="Normal 2 8 2 2 6 3 3 2" xfId="8696"/>
    <cellStyle name="Normal 2 8 2 2 6 3 4" xfId="10371"/>
    <cellStyle name="Normal 2 8 2 2 6 3 5" xfId="7021"/>
    <cellStyle name="Normal 2 8 2 2 6 4" xfId="3907"/>
    <cellStyle name="Normal 2 8 2 2 6 4 2" xfId="5582"/>
    <cellStyle name="Normal 2 8 2 2 6 4 2 2" xfId="8932"/>
    <cellStyle name="Normal 2 8 2 2 6 4 3" xfId="10607"/>
    <cellStyle name="Normal 2 8 2 2 6 4 4" xfId="7257"/>
    <cellStyle name="Normal 2 8 2 2 6 5" xfId="4166"/>
    <cellStyle name="Normal 2 8 2 2 6 5 2" xfId="5841"/>
    <cellStyle name="Normal 2 8 2 2 6 5 2 2" xfId="9191"/>
    <cellStyle name="Normal 2 8 2 2 6 5 3" xfId="10866"/>
    <cellStyle name="Normal 2 8 2 2 6 5 4" xfId="7516"/>
    <cellStyle name="Normal 2 8 2 2 6 6" xfId="4874"/>
    <cellStyle name="Normal 2 8 2 2 6 6 2" xfId="8224"/>
    <cellStyle name="Normal 2 8 2 2 6 7" xfId="9899"/>
    <cellStyle name="Normal 2 8 2 2 6 8" xfId="6549"/>
    <cellStyle name="Normal 2 8 2 2 7" xfId="3318"/>
    <cellStyle name="Normal 2 8 2 2 7 2" xfId="4284"/>
    <cellStyle name="Normal 2 8 2 2 7 2 2" xfId="5959"/>
    <cellStyle name="Normal 2 8 2 2 7 2 2 2" xfId="9309"/>
    <cellStyle name="Normal 2 8 2 2 7 2 3" xfId="10984"/>
    <cellStyle name="Normal 2 8 2 2 7 2 4" xfId="7634"/>
    <cellStyle name="Normal 2 8 2 2 7 3" xfId="4992"/>
    <cellStyle name="Normal 2 8 2 2 7 3 2" xfId="8342"/>
    <cellStyle name="Normal 2 8 2 2 7 4" xfId="10017"/>
    <cellStyle name="Normal 2 8 2 2 7 5" xfId="6667"/>
    <cellStyle name="Normal 2 8 2 2 8" xfId="3553"/>
    <cellStyle name="Normal 2 8 2 2 8 2" xfId="4520"/>
    <cellStyle name="Normal 2 8 2 2 8 2 2" xfId="6195"/>
    <cellStyle name="Normal 2 8 2 2 8 2 2 2" xfId="9545"/>
    <cellStyle name="Normal 2 8 2 2 8 2 3" xfId="11220"/>
    <cellStyle name="Normal 2 8 2 2 8 2 4" xfId="7870"/>
    <cellStyle name="Normal 2 8 2 2 8 3" xfId="5228"/>
    <cellStyle name="Normal 2 8 2 2 8 3 2" xfId="8578"/>
    <cellStyle name="Normal 2 8 2 2 8 4" xfId="10253"/>
    <cellStyle name="Normal 2 8 2 2 8 5" xfId="6903"/>
    <cellStyle name="Normal 2 8 2 2 9" xfId="3789"/>
    <cellStyle name="Normal 2 8 2 2 9 2" xfId="4048"/>
    <cellStyle name="Normal 2 8 2 2 9 2 2" xfId="5723"/>
    <cellStyle name="Normal 2 8 2 2 9 2 2 2" xfId="9073"/>
    <cellStyle name="Normal 2 8 2 2 9 2 3" xfId="10748"/>
    <cellStyle name="Normal 2 8 2 2 9 2 4" xfId="7398"/>
    <cellStyle name="Normal 2 8 2 2 9 3" xfId="5464"/>
    <cellStyle name="Normal 2 8 2 2 9 3 2" xfId="8814"/>
    <cellStyle name="Normal 2 8 2 2 9 4" xfId="10489"/>
    <cellStyle name="Normal 2 8 2 2 9 5" xfId="7139"/>
    <cellStyle name="Normal 2 8 2 3" xfId="2651"/>
    <cellStyle name="Normal 2 8 2 3 2" xfId="2846"/>
    <cellStyle name="Normal 2 8 2 4" xfId="2808"/>
    <cellStyle name="Normal 2 8 3" xfId="2131"/>
    <cellStyle name="Normal 2 8 3 2" xfId="2652"/>
    <cellStyle name="Normal 2 8 3 2 2" xfId="2847"/>
    <cellStyle name="Normal 2 8 3 3" xfId="2809"/>
    <cellStyle name="Normal 2 8 4" xfId="3105"/>
    <cellStyle name="Normal 2 8 4 2" xfId="3222"/>
    <cellStyle name="Normal 2 8 4 2 2" xfId="3458"/>
    <cellStyle name="Normal 2 8 4 2 2 2" xfId="4424"/>
    <cellStyle name="Normal 2 8 4 2 2 2 2" xfId="6099"/>
    <cellStyle name="Normal 2 8 4 2 2 2 2 2" xfId="9449"/>
    <cellStyle name="Normal 2 8 4 2 2 2 3" xfId="11124"/>
    <cellStyle name="Normal 2 8 4 2 2 2 4" xfId="7774"/>
    <cellStyle name="Normal 2 8 4 2 2 3" xfId="5132"/>
    <cellStyle name="Normal 2 8 4 2 2 3 2" xfId="8482"/>
    <cellStyle name="Normal 2 8 4 2 2 4" xfId="10157"/>
    <cellStyle name="Normal 2 8 4 2 2 5" xfId="6807"/>
    <cellStyle name="Normal 2 8 4 2 3" xfId="3693"/>
    <cellStyle name="Normal 2 8 4 2 3 2" xfId="4660"/>
    <cellStyle name="Normal 2 8 4 2 3 2 2" xfId="6335"/>
    <cellStyle name="Normal 2 8 4 2 3 2 2 2" xfId="9685"/>
    <cellStyle name="Normal 2 8 4 2 3 2 3" xfId="11360"/>
    <cellStyle name="Normal 2 8 4 2 3 2 4" xfId="8010"/>
    <cellStyle name="Normal 2 8 4 2 3 3" xfId="5368"/>
    <cellStyle name="Normal 2 8 4 2 3 3 2" xfId="8718"/>
    <cellStyle name="Normal 2 8 4 2 3 4" xfId="10393"/>
    <cellStyle name="Normal 2 8 4 2 3 5" xfId="7043"/>
    <cellStyle name="Normal 2 8 4 2 4" xfId="3929"/>
    <cellStyle name="Normal 2 8 4 2 4 2" xfId="5604"/>
    <cellStyle name="Normal 2 8 4 2 4 2 2" xfId="8954"/>
    <cellStyle name="Normal 2 8 4 2 4 3" xfId="10629"/>
    <cellStyle name="Normal 2 8 4 2 4 4" xfId="7279"/>
    <cellStyle name="Normal 2 8 4 2 5" xfId="4188"/>
    <cellStyle name="Normal 2 8 4 2 5 2" xfId="5863"/>
    <cellStyle name="Normal 2 8 4 2 5 2 2" xfId="9213"/>
    <cellStyle name="Normal 2 8 4 2 5 3" xfId="10888"/>
    <cellStyle name="Normal 2 8 4 2 5 4" xfId="7538"/>
    <cellStyle name="Normal 2 8 4 2 6" xfId="4896"/>
    <cellStyle name="Normal 2 8 4 2 6 2" xfId="8246"/>
    <cellStyle name="Normal 2 8 4 2 7" xfId="9921"/>
    <cellStyle name="Normal 2 8 4 2 8" xfId="6571"/>
    <cellStyle name="Normal 2 8 4 3" xfId="3340"/>
    <cellStyle name="Normal 2 8 4 3 2" xfId="4306"/>
    <cellStyle name="Normal 2 8 4 3 2 2" xfId="5981"/>
    <cellStyle name="Normal 2 8 4 3 2 2 2" xfId="9331"/>
    <cellStyle name="Normal 2 8 4 3 2 3" xfId="11006"/>
    <cellStyle name="Normal 2 8 4 3 2 4" xfId="7656"/>
    <cellStyle name="Normal 2 8 4 3 3" xfId="5014"/>
    <cellStyle name="Normal 2 8 4 3 3 2" xfId="8364"/>
    <cellStyle name="Normal 2 8 4 3 4" xfId="10039"/>
    <cellStyle name="Normal 2 8 4 3 5" xfId="6689"/>
    <cellStyle name="Normal 2 8 4 4" xfId="3575"/>
    <cellStyle name="Normal 2 8 4 4 2" xfId="4542"/>
    <cellStyle name="Normal 2 8 4 4 2 2" xfId="6217"/>
    <cellStyle name="Normal 2 8 4 4 2 2 2" xfId="9567"/>
    <cellStyle name="Normal 2 8 4 4 2 3" xfId="11242"/>
    <cellStyle name="Normal 2 8 4 4 2 4" xfId="7892"/>
    <cellStyle name="Normal 2 8 4 4 3" xfId="5250"/>
    <cellStyle name="Normal 2 8 4 4 3 2" xfId="8600"/>
    <cellStyle name="Normal 2 8 4 4 4" xfId="10275"/>
    <cellStyle name="Normal 2 8 4 4 5" xfId="6925"/>
    <cellStyle name="Normal 2 8 4 5" xfId="3811"/>
    <cellStyle name="Normal 2 8 4 5 2" xfId="5486"/>
    <cellStyle name="Normal 2 8 4 5 2 2" xfId="8836"/>
    <cellStyle name="Normal 2 8 4 5 3" xfId="10511"/>
    <cellStyle name="Normal 2 8 4 5 4" xfId="7161"/>
    <cellStyle name="Normal 2 8 4 6" xfId="4070"/>
    <cellStyle name="Normal 2 8 4 6 2" xfId="5745"/>
    <cellStyle name="Normal 2 8 4 6 2 2" xfId="9095"/>
    <cellStyle name="Normal 2 8 4 6 3" xfId="10770"/>
    <cellStyle name="Normal 2 8 4 6 4" xfId="7420"/>
    <cellStyle name="Normal 2 8 4 7" xfId="4778"/>
    <cellStyle name="Normal 2 8 4 7 2" xfId="8128"/>
    <cellStyle name="Normal 2 8 4 8" xfId="9803"/>
    <cellStyle name="Normal 2 8 4 9" xfId="6453"/>
    <cellStyle name="Normal 2 8 5" xfId="3128"/>
    <cellStyle name="Normal 2 8 5 2" xfId="3245"/>
    <cellStyle name="Normal 2 8 5 2 2" xfId="3481"/>
    <cellStyle name="Normal 2 8 5 2 2 2" xfId="4447"/>
    <cellStyle name="Normal 2 8 5 2 2 2 2" xfId="6122"/>
    <cellStyle name="Normal 2 8 5 2 2 2 2 2" xfId="9472"/>
    <cellStyle name="Normal 2 8 5 2 2 2 3" xfId="11147"/>
    <cellStyle name="Normal 2 8 5 2 2 2 4" xfId="7797"/>
    <cellStyle name="Normal 2 8 5 2 2 3" xfId="5155"/>
    <cellStyle name="Normal 2 8 5 2 2 3 2" xfId="8505"/>
    <cellStyle name="Normal 2 8 5 2 2 4" xfId="10180"/>
    <cellStyle name="Normal 2 8 5 2 2 5" xfId="6830"/>
    <cellStyle name="Normal 2 8 5 2 3" xfId="3716"/>
    <cellStyle name="Normal 2 8 5 2 3 2" xfId="4683"/>
    <cellStyle name="Normal 2 8 5 2 3 2 2" xfId="6358"/>
    <cellStyle name="Normal 2 8 5 2 3 2 2 2" xfId="9708"/>
    <cellStyle name="Normal 2 8 5 2 3 2 3" xfId="11383"/>
    <cellStyle name="Normal 2 8 5 2 3 2 4" xfId="8033"/>
    <cellStyle name="Normal 2 8 5 2 3 3" xfId="5391"/>
    <cellStyle name="Normal 2 8 5 2 3 3 2" xfId="8741"/>
    <cellStyle name="Normal 2 8 5 2 3 4" xfId="10416"/>
    <cellStyle name="Normal 2 8 5 2 3 5" xfId="7066"/>
    <cellStyle name="Normal 2 8 5 2 4" xfId="3952"/>
    <cellStyle name="Normal 2 8 5 2 4 2" xfId="5627"/>
    <cellStyle name="Normal 2 8 5 2 4 2 2" xfId="8977"/>
    <cellStyle name="Normal 2 8 5 2 4 3" xfId="10652"/>
    <cellStyle name="Normal 2 8 5 2 4 4" xfId="7302"/>
    <cellStyle name="Normal 2 8 5 2 5" xfId="4211"/>
    <cellStyle name="Normal 2 8 5 2 5 2" xfId="5886"/>
    <cellStyle name="Normal 2 8 5 2 5 2 2" xfId="9236"/>
    <cellStyle name="Normal 2 8 5 2 5 3" xfId="10911"/>
    <cellStyle name="Normal 2 8 5 2 5 4" xfId="7561"/>
    <cellStyle name="Normal 2 8 5 2 6" xfId="4919"/>
    <cellStyle name="Normal 2 8 5 2 6 2" xfId="8269"/>
    <cellStyle name="Normal 2 8 5 2 7" xfId="9944"/>
    <cellStyle name="Normal 2 8 5 2 8" xfId="6594"/>
    <cellStyle name="Normal 2 8 5 3" xfId="3363"/>
    <cellStyle name="Normal 2 8 5 3 2" xfId="4329"/>
    <cellStyle name="Normal 2 8 5 3 2 2" xfId="6004"/>
    <cellStyle name="Normal 2 8 5 3 2 2 2" xfId="9354"/>
    <cellStyle name="Normal 2 8 5 3 2 3" xfId="11029"/>
    <cellStyle name="Normal 2 8 5 3 2 4" xfId="7679"/>
    <cellStyle name="Normal 2 8 5 3 3" xfId="5037"/>
    <cellStyle name="Normal 2 8 5 3 3 2" xfId="8387"/>
    <cellStyle name="Normal 2 8 5 3 4" xfId="10062"/>
    <cellStyle name="Normal 2 8 5 3 5" xfId="6712"/>
    <cellStyle name="Normal 2 8 5 4" xfId="3598"/>
    <cellStyle name="Normal 2 8 5 4 2" xfId="4565"/>
    <cellStyle name="Normal 2 8 5 4 2 2" xfId="6240"/>
    <cellStyle name="Normal 2 8 5 4 2 2 2" xfId="9590"/>
    <cellStyle name="Normal 2 8 5 4 2 3" xfId="11265"/>
    <cellStyle name="Normal 2 8 5 4 2 4" xfId="7915"/>
    <cellStyle name="Normal 2 8 5 4 3" xfId="5273"/>
    <cellStyle name="Normal 2 8 5 4 3 2" xfId="8623"/>
    <cellStyle name="Normal 2 8 5 4 4" xfId="10298"/>
    <cellStyle name="Normal 2 8 5 4 5" xfId="6948"/>
    <cellStyle name="Normal 2 8 5 5" xfId="3834"/>
    <cellStyle name="Normal 2 8 5 5 2" xfId="5509"/>
    <cellStyle name="Normal 2 8 5 5 2 2" xfId="8859"/>
    <cellStyle name="Normal 2 8 5 5 3" xfId="10534"/>
    <cellStyle name="Normal 2 8 5 5 4" xfId="7184"/>
    <cellStyle name="Normal 2 8 5 6" xfId="4093"/>
    <cellStyle name="Normal 2 8 5 6 2" xfId="5768"/>
    <cellStyle name="Normal 2 8 5 6 2 2" xfId="9118"/>
    <cellStyle name="Normal 2 8 5 6 3" xfId="10793"/>
    <cellStyle name="Normal 2 8 5 6 4" xfId="7443"/>
    <cellStyle name="Normal 2 8 5 7" xfId="4801"/>
    <cellStyle name="Normal 2 8 5 7 2" xfId="8151"/>
    <cellStyle name="Normal 2 8 5 8" xfId="9826"/>
    <cellStyle name="Normal 2 8 5 9" xfId="6476"/>
    <cellStyle name="Normal 2 8 6" xfId="3151"/>
    <cellStyle name="Normal 2 8 6 2" xfId="3269"/>
    <cellStyle name="Normal 2 8 6 2 2" xfId="3505"/>
    <cellStyle name="Normal 2 8 6 2 2 2" xfId="4471"/>
    <cellStyle name="Normal 2 8 6 2 2 2 2" xfId="6146"/>
    <cellStyle name="Normal 2 8 6 2 2 2 2 2" xfId="9496"/>
    <cellStyle name="Normal 2 8 6 2 2 2 3" xfId="11171"/>
    <cellStyle name="Normal 2 8 6 2 2 2 4" xfId="7821"/>
    <cellStyle name="Normal 2 8 6 2 2 3" xfId="5179"/>
    <cellStyle name="Normal 2 8 6 2 2 3 2" xfId="8529"/>
    <cellStyle name="Normal 2 8 6 2 2 4" xfId="10204"/>
    <cellStyle name="Normal 2 8 6 2 2 5" xfId="6854"/>
    <cellStyle name="Normal 2 8 6 2 3" xfId="3740"/>
    <cellStyle name="Normal 2 8 6 2 3 2" xfId="4707"/>
    <cellStyle name="Normal 2 8 6 2 3 2 2" xfId="6382"/>
    <cellStyle name="Normal 2 8 6 2 3 2 2 2" xfId="9732"/>
    <cellStyle name="Normal 2 8 6 2 3 2 3" xfId="11407"/>
    <cellStyle name="Normal 2 8 6 2 3 2 4" xfId="8057"/>
    <cellStyle name="Normal 2 8 6 2 3 3" xfId="5415"/>
    <cellStyle name="Normal 2 8 6 2 3 3 2" xfId="8765"/>
    <cellStyle name="Normal 2 8 6 2 3 4" xfId="10440"/>
    <cellStyle name="Normal 2 8 6 2 3 5" xfId="7090"/>
    <cellStyle name="Normal 2 8 6 2 4" xfId="3976"/>
    <cellStyle name="Normal 2 8 6 2 4 2" xfId="5651"/>
    <cellStyle name="Normal 2 8 6 2 4 2 2" xfId="9001"/>
    <cellStyle name="Normal 2 8 6 2 4 3" xfId="10676"/>
    <cellStyle name="Normal 2 8 6 2 4 4" xfId="7326"/>
    <cellStyle name="Normal 2 8 6 2 5" xfId="4235"/>
    <cellStyle name="Normal 2 8 6 2 5 2" xfId="5910"/>
    <cellStyle name="Normal 2 8 6 2 5 2 2" xfId="9260"/>
    <cellStyle name="Normal 2 8 6 2 5 3" xfId="10935"/>
    <cellStyle name="Normal 2 8 6 2 5 4" xfId="7585"/>
    <cellStyle name="Normal 2 8 6 2 6" xfId="4943"/>
    <cellStyle name="Normal 2 8 6 2 6 2" xfId="8293"/>
    <cellStyle name="Normal 2 8 6 2 7" xfId="9968"/>
    <cellStyle name="Normal 2 8 6 2 8" xfId="6618"/>
    <cellStyle name="Normal 2 8 6 3" xfId="3387"/>
    <cellStyle name="Normal 2 8 6 3 2" xfId="4353"/>
    <cellStyle name="Normal 2 8 6 3 2 2" xfId="6028"/>
    <cellStyle name="Normal 2 8 6 3 2 2 2" xfId="9378"/>
    <cellStyle name="Normal 2 8 6 3 2 3" xfId="11053"/>
    <cellStyle name="Normal 2 8 6 3 2 4" xfId="7703"/>
    <cellStyle name="Normal 2 8 6 3 3" xfId="5061"/>
    <cellStyle name="Normal 2 8 6 3 3 2" xfId="8411"/>
    <cellStyle name="Normal 2 8 6 3 4" xfId="10086"/>
    <cellStyle name="Normal 2 8 6 3 5" xfId="6736"/>
    <cellStyle name="Normal 2 8 6 4" xfId="3622"/>
    <cellStyle name="Normal 2 8 6 4 2" xfId="4589"/>
    <cellStyle name="Normal 2 8 6 4 2 2" xfId="6264"/>
    <cellStyle name="Normal 2 8 6 4 2 2 2" xfId="9614"/>
    <cellStyle name="Normal 2 8 6 4 2 3" xfId="11289"/>
    <cellStyle name="Normal 2 8 6 4 2 4" xfId="7939"/>
    <cellStyle name="Normal 2 8 6 4 3" xfId="5297"/>
    <cellStyle name="Normal 2 8 6 4 3 2" xfId="8647"/>
    <cellStyle name="Normal 2 8 6 4 4" xfId="10322"/>
    <cellStyle name="Normal 2 8 6 4 5" xfId="6972"/>
    <cellStyle name="Normal 2 8 6 5" xfId="3858"/>
    <cellStyle name="Normal 2 8 6 5 2" xfId="5533"/>
    <cellStyle name="Normal 2 8 6 5 2 2" xfId="8883"/>
    <cellStyle name="Normal 2 8 6 5 3" xfId="10558"/>
    <cellStyle name="Normal 2 8 6 5 4" xfId="7208"/>
    <cellStyle name="Normal 2 8 6 6" xfId="4117"/>
    <cellStyle name="Normal 2 8 6 6 2" xfId="5792"/>
    <cellStyle name="Normal 2 8 6 6 2 2" xfId="9142"/>
    <cellStyle name="Normal 2 8 6 6 3" xfId="10817"/>
    <cellStyle name="Normal 2 8 6 6 4" xfId="7467"/>
    <cellStyle name="Normal 2 8 6 7" xfId="4825"/>
    <cellStyle name="Normal 2 8 6 7 2" xfId="8175"/>
    <cellStyle name="Normal 2 8 6 8" xfId="9850"/>
    <cellStyle name="Normal 2 8 6 9" xfId="6500"/>
    <cellStyle name="Normal 2 8 7" xfId="3175"/>
    <cellStyle name="Normal 2 8 7 2" xfId="3293"/>
    <cellStyle name="Normal 2 8 7 2 2" xfId="3529"/>
    <cellStyle name="Normal 2 8 7 2 2 2" xfId="4495"/>
    <cellStyle name="Normal 2 8 7 2 2 2 2" xfId="6170"/>
    <cellStyle name="Normal 2 8 7 2 2 2 2 2" xfId="9520"/>
    <cellStyle name="Normal 2 8 7 2 2 2 3" xfId="11195"/>
    <cellStyle name="Normal 2 8 7 2 2 2 4" xfId="7845"/>
    <cellStyle name="Normal 2 8 7 2 2 3" xfId="5203"/>
    <cellStyle name="Normal 2 8 7 2 2 3 2" xfId="8553"/>
    <cellStyle name="Normal 2 8 7 2 2 4" xfId="10228"/>
    <cellStyle name="Normal 2 8 7 2 2 5" xfId="6878"/>
    <cellStyle name="Normal 2 8 7 2 3" xfId="3764"/>
    <cellStyle name="Normal 2 8 7 2 3 2" xfId="4731"/>
    <cellStyle name="Normal 2 8 7 2 3 2 2" xfId="6406"/>
    <cellStyle name="Normal 2 8 7 2 3 2 2 2" xfId="9756"/>
    <cellStyle name="Normal 2 8 7 2 3 2 3" xfId="11431"/>
    <cellStyle name="Normal 2 8 7 2 3 2 4" xfId="8081"/>
    <cellStyle name="Normal 2 8 7 2 3 3" xfId="5439"/>
    <cellStyle name="Normal 2 8 7 2 3 3 2" xfId="8789"/>
    <cellStyle name="Normal 2 8 7 2 3 4" xfId="10464"/>
    <cellStyle name="Normal 2 8 7 2 3 5" xfId="7114"/>
    <cellStyle name="Normal 2 8 7 2 4" xfId="4000"/>
    <cellStyle name="Normal 2 8 7 2 4 2" xfId="5675"/>
    <cellStyle name="Normal 2 8 7 2 4 2 2" xfId="9025"/>
    <cellStyle name="Normal 2 8 7 2 4 3" xfId="10700"/>
    <cellStyle name="Normal 2 8 7 2 4 4" xfId="7350"/>
    <cellStyle name="Normal 2 8 7 2 5" xfId="4259"/>
    <cellStyle name="Normal 2 8 7 2 5 2" xfId="5934"/>
    <cellStyle name="Normal 2 8 7 2 5 2 2" xfId="9284"/>
    <cellStyle name="Normal 2 8 7 2 5 3" xfId="10959"/>
    <cellStyle name="Normal 2 8 7 2 5 4" xfId="7609"/>
    <cellStyle name="Normal 2 8 7 2 6" xfId="4967"/>
    <cellStyle name="Normal 2 8 7 2 6 2" xfId="8317"/>
    <cellStyle name="Normal 2 8 7 2 7" xfId="9992"/>
    <cellStyle name="Normal 2 8 7 2 8" xfId="6642"/>
    <cellStyle name="Normal 2 8 7 3" xfId="3411"/>
    <cellStyle name="Normal 2 8 7 3 2" xfId="4377"/>
    <cellStyle name="Normal 2 8 7 3 2 2" xfId="6052"/>
    <cellStyle name="Normal 2 8 7 3 2 2 2" xfId="9402"/>
    <cellStyle name="Normal 2 8 7 3 2 3" xfId="11077"/>
    <cellStyle name="Normal 2 8 7 3 2 4" xfId="7727"/>
    <cellStyle name="Normal 2 8 7 3 3" xfId="5085"/>
    <cellStyle name="Normal 2 8 7 3 3 2" xfId="8435"/>
    <cellStyle name="Normal 2 8 7 3 4" xfId="10110"/>
    <cellStyle name="Normal 2 8 7 3 5" xfId="6760"/>
    <cellStyle name="Normal 2 8 7 4" xfId="3646"/>
    <cellStyle name="Normal 2 8 7 4 2" xfId="4613"/>
    <cellStyle name="Normal 2 8 7 4 2 2" xfId="6288"/>
    <cellStyle name="Normal 2 8 7 4 2 2 2" xfId="9638"/>
    <cellStyle name="Normal 2 8 7 4 2 3" xfId="11313"/>
    <cellStyle name="Normal 2 8 7 4 2 4" xfId="7963"/>
    <cellStyle name="Normal 2 8 7 4 3" xfId="5321"/>
    <cellStyle name="Normal 2 8 7 4 3 2" xfId="8671"/>
    <cellStyle name="Normal 2 8 7 4 4" xfId="10346"/>
    <cellStyle name="Normal 2 8 7 4 5" xfId="6996"/>
    <cellStyle name="Normal 2 8 7 5" xfId="3882"/>
    <cellStyle name="Normal 2 8 7 5 2" xfId="5557"/>
    <cellStyle name="Normal 2 8 7 5 2 2" xfId="8907"/>
    <cellStyle name="Normal 2 8 7 5 3" xfId="10582"/>
    <cellStyle name="Normal 2 8 7 5 4" xfId="7232"/>
    <cellStyle name="Normal 2 8 7 6" xfId="4141"/>
    <cellStyle name="Normal 2 8 7 6 2" xfId="5816"/>
    <cellStyle name="Normal 2 8 7 6 2 2" xfId="9166"/>
    <cellStyle name="Normal 2 8 7 6 3" xfId="10841"/>
    <cellStyle name="Normal 2 8 7 6 4" xfId="7491"/>
    <cellStyle name="Normal 2 8 7 7" xfId="4849"/>
    <cellStyle name="Normal 2 8 7 7 2" xfId="8199"/>
    <cellStyle name="Normal 2 8 7 8" xfId="9874"/>
    <cellStyle name="Normal 2 8 7 9" xfId="6524"/>
    <cellStyle name="Normal 2 8 8" xfId="3199"/>
    <cellStyle name="Normal 2 8 8 2" xfId="3435"/>
    <cellStyle name="Normal 2 8 8 2 2" xfId="4401"/>
    <cellStyle name="Normal 2 8 8 2 2 2" xfId="6076"/>
    <cellStyle name="Normal 2 8 8 2 2 2 2" xfId="9426"/>
    <cellStyle name="Normal 2 8 8 2 2 3" xfId="11101"/>
    <cellStyle name="Normal 2 8 8 2 2 4" xfId="7751"/>
    <cellStyle name="Normal 2 8 8 2 3" xfId="5109"/>
    <cellStyle name="Normal 2 8 8 2 3 2" xfId="8459"/>
    <cellStyle name="Normal 2 8 8 2 4" xfId="10134"/>
    <cellStyle name="Normal 2 8 8 2 5" xfId="6784"/>
    <cellStyle name="Normal 2 8 8 3" xfId="3670"/>
    <cellStyle name="Normal 2 8 8 3 2" xfId="4637"/>
    <cellStyle name="Normal 2 8 8 3 2 2" xfId="6312"/>
    <cellStyle name="Normal 2 8 8 3 2 2 2" xfId="9662"/>
    <cellStyle name="Normal 2 8 8 3 2 3" xfId="11337"/>
    <cellStyle name="Normal 2 8 8 3 2 4" xfId="7987"/>
    <cellStyle name="Normal 2 8 8 3 3" xfId="5345"/>
    <cellStyle name="Normal 2 8 8 3 3 2" xfId="8695"/>
    <cellStyle name="Normal 2 8 8 3 4" xfId="10370"/>
    <cellStyle name="Normal 2 8 8 3 5" xfId="7020"/>
    <cellStyle name="Normal 2 8 8 4" xfId="3906"/>
    <cellStyle name="Normal 2 8 8 4 2" xfId="5581"/>
    <cellStyle name="Normal 2 8 8 4 2 2" xfId="8931"/>
    <cellStyle name="Normal 2 8 8 4 3" xfId="10606"/>
    <cellStyle name="Normal 2 8 8 4 4" xfId="7256"/>
    <cellStyle name="Normal 2 8 8 5" xfId="4165"/>
    <cellStyle name="Normal 2 8 8 5 2" xfId="5840"/>
    <cellStyle name="Normal 2 8 8 5 2 2" xfId="9190"/>
    <cellStyle name="Normal 2 8 8 5 3" xfId="10865"/>
    <cellStyle name="Normal 2 8 8 5 4" xfId="7515"/>
    <cellStyle name="Normal 2 8 8 6" xfId="4873"/>
    <cellStyle name="Normal 2 8 8 6 2" xfId="8223"/>
    <cellStyle name="Normal 2 8 8 7" xfId="9898"/>
    <cellStyle name="Normal 2 8 8 8" xfId="6548"/>
    <cellStyle name="Normal 2 8 9" xfId="3317"/>
    <cellStyle name="Normal 2 8 9 2" xfId="4283"/>
    <cellStyle name="Normal 2 8 9 2 2" xfId="5958"/>
    <cellStyle name="Normal 2 8 9 2 2 2" xfId="9308"/>
    <cellStyle name="Normal 2 8 9 2 3" xfId="10983"/>
    <cellStyle name="Normal 2 8 9 2 4" xfId="7633"/>
    <cellStyle name="Normal 2 8 9 3" xfId="4991"/>
    <cellStyle name="Normal 2 8 9 3 2" xfId="8341"/>
    <cellStyle name="Normal 2 8 9 4" xfId="10016"/>
    <cellStyle name="Normal 2 8 9 5" xfId="6666"/>
    <cellStyle name="Normal 2 9" xfId="2132"/>
    <cellStyle name="Normal 2 9 2" xfId="2653"/>
    <cellStyle name="Normal 2 9 2 2" xfId="2848"/>
    <cellStyle name="Normal 2 9 3" xfId="2810"/>
    <cellStyle name="Normal 20" xfId="2654"/>
    <cellStyle name="Normal 21" xfId="2433"/>
    <cellStyle name="Normal 21 2" xfId="2741"/>
    <cellStyle name="Normal 21 3" xfId="11682"/>
    <cellStyle name="Normal 22" xfId="2742"/>
    <cellStyle name="Normal 22 2" xfId="2744"/>
    <cellStyle name="Normal 22 3" xfId="2743"/>
    <cellStyle name="Normal 23" xfId="36"/>
    <cellStyle name="Normal 23 2" xfId="47"/>
    <cellStyle name="Normal 23 3" xfId="2858"/>
    <cellStyle name="Normal 24" xfId="46"/>
    <cellStyle name="Normal 25" xfId="42"/>
    <cellStyle name="Normal 26" xfId="2857"/>
    <cellStyle name="Normal 26 2" xfId="2859"/>
    <cellStyle name="Normal 27" xfId="2860"/>
    <cellStyle name="Normal 3" xfId="28"/>
    <cellStyle name="Normal 3 2" xfId="6"/>
    <cellStyle name="Normal 3 2 2" xfId="48"/>
    <cellStyle name="Normal 3 2 2 2" xfId="39"/>
    <cellStyle name="Normal 3 2 2 2 2" xfId="2425"/>
    <cellStyle name="Normal 3 2 2 3" xfId="30"/>
    <cellStyle name="Normal 3 2 3" xfId="2133"/>
    <cellStyle name="Normal 3 2 3 2" xfId="2426"/>
    <cellStyle name="Normal 3 2 4" xfId="2427"/>
    <cellStyle name="Normal 3 3" xfId="294"/>
    <cellStyle name="Normal 3 3 2" xfId="348"/>
    <cellStyle name="Normal 3 3 3" xfId="2655"/>
    <cellStyle name="Normal 3 3 4" xfId="12099"/>
    <cellStyle name="Normal 3 4" xfId="341"/>
    <cellStyle name="Normal 3 5" xfId="2134"/>
    <cellStyle name="Normal 3 6" xfId="2135"/>
    <cellStyle name="Normal 3 7" xfId="2136"/>
    <cellStyle name="Normal 3 8" xfId="2656"/>
    <cellStyle name="Normal 4" xfId="12"/>
    <cellStyle name="Normal 4 2" xfId="37"/>
    <cellStyle name="Normal 4 2 2" xfId="2138"/>
    <cellStyle name="Normal 4 2 2 2" xfId="45"/>
    <cellStyle name="Normal 4 2 3" xfId="2139"/>
    <cellStyle name="Normal 4 2 4" xfId="2140"/>
    <cellStyle name="Normal 4 2 4 10" xfId="4026"/>
    <cellStyle name="Normal 4 2 4 10 2" xfId="5701"/>
    <cellStyle name="Normal 4 2 4 10 2 2" xfId="9051"/>
    <cellStyle name="Normal 4 2 4 10 3" xfId="10726"/>
    <cellStyle name="Normal 4 2 4 10 4" xfId="7376"/>
    <cellStyle name="Normal 4 2 4 11" xfId="4757"/>
    <cellStyle name="Normal 4 2 4 11 2" xfId="8107"/>
    <cellStyle name="Normal 4 2 4 12" xfId="9782"/>
    <cellStyle name="Normal 4 2 4 13" xfId="6432"/>
    <cellStyle name="Normal 4 2 4 14" xfId="12239"/>
    <cellStyle name="Normal 4 2 4 2" xfId="3107"/>
    <cellStyle name="Normal 4 2 4 2 2" xfId="3224"/>
    <cellStyle name="Normal 4 2 4 2 2 2" xfId="3460"/>
    <cellStyle name="Normal 4 2 4 2 2 2 2" xfId="4426"/>
    <cellStyle name="Normal 4 2 4 2 2 2 2 2" xfId="6101"/>
    <cellStyle name="Normal 4 2 4 2 2 2 2 2 2" xfId="9451"/>
    <cellStyle name="Normal 4 2 4 2 2 2 2 3" xfId="11126"/>
    <cellStyle name="Normal 4 2 4 2 2 2 2 4" xfId="7776"/>
    <cellStyle name="Normal 4 2 4 2 2 2 3" xfId="5134"/>
    <cellStyle name="Normal 4 2 4 2 2 2 3 2" xfId="8484"/>
    <cellStyle name="Normal 4 2 4 2 2 2 4" xfId="10159"/>
    <cellStyle name="Normal 4 2 4 2 2 2 5" xfId="6809"/>
    <cellStyle name="Normal 4 2 4 2 2 3" xfId="3695"/>
    <cellStyle name="Normal 4 2 4 2 2 3 2" xfId="4662"/>
    <cellStyle name="Normal 4 2 4 2 2 3 2 2" xfId="6337"/>
    <cellStyle name="Normal 4 2 4 2 2 3 2 2 2" xfId="9687"/>
    <cellStyle name="Normal 4 2 4 2 2 3 2 3" xfId="11362"/>
    <cellStyle name="Normal 4 2 4 2 2 3 2 4" xfId="8012"/>
    <cellStyle name="Normal 4 2 4 2 2 3 3" xfId="5370"/>
    <cellStyle name="Normal 4 2 4 2 2 3 3 2" xfId="8720"/>
    <cellStyle name="Normal 4 2 4 2 2 3 4" xfId="10395"/>
    <cellStyle name="Normal 4 2 4 2 2 3 5" xfId="7045"/>
    <cellStyle name="Normal 4 2 4 2 2 4" xfId="3931"/>
    <cellStyle name="Normal 4 2 4 2 2 4 2" xfId="5606"/>
    <cellStyle name="Normal 4 2 4 2 2 4 2 2" xfId="8956"/>
    <cellStyle name="Normal 4 2 4 2 2 4 3" xfId="10631"/>
    <cellStyle name="Normal 4 2 4 2 2 4 4" xfId="7281"/>
    <cellStyle name="Normal 4 2 4 2 2 5" xfId="4190"/>
    <cellStyle name="Normal 4 2 4 2 2 5 2" xfId="5865"/>
    <cellStyle name="Normal 4 2 4 2 2 5 2 2" xfId="9215"/>
    <cellStyle name="Normal 4 2 4 2 2 5 3" xfId="10890"/>
    <cellStyle name="Normal 4 2 4 2 2 5 4" xfId="7540"/>
    <cellStyle name="Normal 4 2 4 2 2 6" xfId="4898"/>
    <cellStyle name="Normal 4 2 4 2 2 6 2" xfId="8248"/>
    <cellStyle name="Normal 4 2 4 2 2 7" xfId="9923"/>
    <cellStyle name="Normal 4 2 4 2 2 8" xfId="6573"/>
    <cellStyle name="Normal 4 2 4 2 3" xfId="3342"/>
    <cellStyle name="Normal 4 2 4 2 3 2" xfId="4308"/>
    <cellStyle name="Normal 4 2 4 2 3 2 2" xfId="5983"/>
    <cellStyle name="Normal 4 2 4 2 3 2 2 2" xfId="9333"/>
    <cellStyle name="Normal 4 2 4 2 3 2 3" xfId="11008"/>
    <cellStyle name="Normal 4 2 4 2 3 2 4" xfId="7658"/>
    <cellStyle name="Normal 4 2 4 2 3 3" xfId="5016"/>
    <cellStyle name="Normal 4 2 4 2 3 3 2" xfId="8366"/>
    <cellStyle name="Normal 4 2 4 2 3 4" xfId="10041"/>
    <cellStyle name="Normal 4 2 4 2 3 5" xfId="6691"/>
    <cellStyle name="Normal 4 2 4 2 4" xfId="3577"/>
    <cellStyle name="Normal 4 2 4 2 4 2" xfId="4544"/>
    <cellStyle name="Normal 4 2 4 2 4 2 2" xfId="6219"/>
    <cellStyle name="Normal 4 2 4 2 4 2 2 2" xfId="9569"/>
    <cellStyle name="Normal 4 2 4 2 4 2 3" xfId="11244"/>
    <cellStyle name="Normal 4 2 4 2 4 2 4" xfId="7894"/>
    <cellStyle name="Normal 4 2 4 2 4 3" xfId="5252"/>
    <cellStyle name="Normal 4 2 4 2 4 3 2" xfId="8602"/>
    <cellStyle name="Normal 4 2 4 2 4 4" xfId="10277"/>
    <cellStyle name="Normal 4 2 4 2 4 5" xfId="6927"/>
    <cellStyle name="Normal 4 2 4 2 5" xfId="3813"/>
    <cellStyle name="Normal 4 2 4 2 5 2" xfId="5488"/>
    <cellStyle name="Normal 4 2 4 2 5 2 2" xfId="8838"/>
    <cellStyle name="Normal 4 2 4 2 5 3" xfId="10513"/>
    <cellStyle name="Normal 4 2 4 2 5 4" xfId="7163"/>
    <cellStyle name="Normal 4 2 4 2 6" xfId="4072"/>
    <cellStyle name="Normal 4 2 4 2 6 2" xfId="5747"/>
    <cellStyle name="Normal 4 2 4 2 6 2 2" xfId="9097"/>
    <cellStyle name="Normal 4 2 4 2 6 3" xfId="10772"/>
    <cellStyle name="Normal 4 2 4 2 6 4" xfId="7422"/>
    <cellStyle name="Normal 4 2 4 2 7" xfId="4780"/>
    <cellStyle name="Normal 4 2 4 2 7 2" xfId="8130"/>
    <cellStyle name="Normal 4 2 4 2 8" xfId="9805"/>
    <cellStyle name="Normal 4 2 4 2 9" xfId="6455"/>
    <cellStyle name="Normal 4 2 4 3" xfId="3130"/>
    <cellStyle name="Normal 4 2 4 3 2" xfId="3247"/>
    <cellStyle name="Normal 4 2 4 3 2 2" xfId="3483"/>
    <cellStyle name="Normal 4 2 4 3 2 2 2" xfId="4449"/>
    <cellStyle name="Normal 4 2 4 3 2 2 2 2" xfId="6124"/>
    <cellStyle name="Normal 4 2 4 3 2 2 2 2 2" xfId="9474"/>
    <cellStyle name="Normal 4 2 4 3 2 2 2 3" xfId="11149"/>
    <cellStyle name="Normal 4 2 4 3 2 2 2 4" xfId="7799"/>
    <cellStyle name="Normal 4 2 4 3 2 2 3" xfId="5157"/>
    <cellStyle name="Normal 4 2 4 3 2 2 3 2" xfId="8507"/>
    <cellStyle name="Normal 4 2 4 3 2 2 4" xfId="10182"/>
    <cellStyle name="Normal 4 2 4 3 2 2 5" xfId="6832"/>
    <cellStyle name="Normal 4 2 4 3 2 3" xfId="3718"/>
    <cellStyle name="Normal 4 2 4 3 2 3 2" xfId="4685"/>
    <cellStyle name="Normal 4 2 4 3 2 3 2 2" xfId="6360"/>
    <cellStyle name="Normal 4 2 4 3 2 3 2 2 2" xfId="9710"/>
    <cellStyle name="Normal 4 2 4 3 2 3 2 3" xfId="11385"/>
    <cellStyle name="Normal 4 2 4 3 2 3 2 4" xfId="8035"/>
    <cellStyle name="Normal 4 2 4 3 2 3 3" xfId="5393"/>
    <cellStyle name="Normal 4 2 4 3 2 3 3 2" xfId="8743"/>
    <cellStyle name="Normal 4 2 4 3 2 3 4" xfId="10418"/>
    <cellStyle name="Normal 4 2 4 3 2 3 5" xfId="7068"/>
    <cellStyle name="Normal 4 2 4 3 2 4" xfId="3954"/>
    <cellStyle name="Normal 4 2 4 3 2 4 2" xfId="5629"/>
    <cellStyle name="Normal 4 2 4 3 2 4 2 2" xfId="8979"/>
    <cellStyle name="Normal 4 2 4 3 2 4 3" xfId="10654"/>
    <cellStyle name="Normal 4 2 4 3 2 4 4" xfId="7304"/>
    <cellStyle name="Normal 4 2 4 3 2 5" xfId="4213"/>
    <cellStyle name="Normal 4 2 4 3 2 5 2" xfId="5888"/>
    <cellStyle name="Normal 4 2 4 3 2 5 2 2" xfId="9238"/>
    <cellStyle name="Normal 4 2 4 3 2 5 3" xfId="10913"/>
    <cellStyle name="Normal 4 2 4 3 2 5 4" xfId="7563"/>
    <cellStyle name="Normal 4 2 4 3 2 6" xfId="4921"/>
    <cellStyle name="Normal 4 2 4 3 2 6 2" xfId="8271"/>
    <cellStyle name="Normal 4 2 4 3 2 7" xfId="9946"/>
    <cellStyle name="Normal 4 2 4 3 2 8" xfId="6596"/>
    <cellStyle name="Normal 4 2 4 3 3" xfId="3365"/>
    <cellStyle name="Normal 4 2 4 3 3 2" xfId="4331"/>
    <cellStyle name="Normal 4 2 4 3 3 2 2" xfId="6006"/>
    <cellStyle name="Normal 4 2 4 3 3 2 2 2" xfId="9356"/>
    <cellStyle name="Normal 4 2 4 3 3 2 3" xfId="11031"/>
    <cellStyle name="Normal 4 2 4 3 3 2 4" xfId="7681"/>
    <cellStyle name="Normal 4 2 4 3 3 3" xfId="5039"/>
    <cellStyle name="Normal 4 2 4 3 3 3 2" xfId="8389"/>
    <cellStyle name="Normal 4 2 4 3 3 4" xfId="10064"/>
    <cellStyle name="Normal 4 2 4 3 3 5" xfId="6714"/>
    <cellStyle name="Normal 4 2 4 3 4" xfId="3600"/>
    <cellStyle name="Normal 4 2 4 3 4 2" xfId="4567"/>
    <cellStyle name="Normal 4 2 4 3 4 2 2" xfId="6242"/>
    <cellStyle name="Normal 4 2 4 3 4 2 2 2" xfId="9592"/>
    <cellStyle name="Normal 4 2 4 3 4 2 3" xfId="11267"/>
    <cellStyle name="Normal 4 2 4 3 4 2 4" xfId="7917"/>
    <cellStyle name="Normal 4 2 4 3 4 3" xfId="5275"/>
    <cellStyle name="Normal 4 2 4 3 4 3 2" xfId="8625"/>
    <cellStyle name="Normal 4 2 4 3 4 4" xfId="10300"/>
    <cellStyle name="Normal 4 2 4 3 4 5" xfId="6950"/>
    <cellStyle name="Normal 4 2 4 3 5" xfId="3836"/>
    <cellStyle name="Normal 4 2 4 3 5 2" xfId="5511"/>
    <cellStyle name="Normal 4 2 4 3 5 2 2" xfId="8861"/>
    <cellStyle name="Normal 4 2 4 3 5 3" xfId="10536"/>
    <cellStyle name="Normal 4 2 4 3 5 4" xfId="7186"/>
    <cellStyle name="Normal 4 2 4 3 6" xfId="4095"/>
    <cellStyle name="Normal 4 2 4 3 6 2" xfId="5770"/>
    <cellStyle name="Normal 4 2 4 3 6 2 2" xfId="9120"/>
    <cellStyle name="Normal 4 2 4 3 6 3" xfId="10795"/>
    <cellStyle name="Normal 4 2 4 3 6 4" xfId="7445"/>
    <cellStyle name="Normal 4 2 4 3 7" xfId="4803"/>
    <cellStyle name="Normal 4 2 4 3 7 2" xfId="8153"/>
    <cellStyle name="Normal 4 2 4 3 8" xfId="9828"/>
    <cellStyle name="Normal 4 2 4 3 9" xfId="6478"/>
    <cellStyle name="Normal 4 2 4 4" xfId="3153"/>
    <cellStyle name="Normal 4 2 4 4 2" xfId="3271"/>
    <cellStyle name="Normal 4 2 4 4 2 2" xfId="3507"/>
    <cellStyle name="Normal 4 2 4 4 2 2 2" xfId="4473"/>
    <cellStyle name="Normal 4 2 4 4 2 2 2 2" xfId="6148"/>
    <cellStyle name="Normal 4 2 4 4 2 2 2 2 2" xfId="9498"/>
    <cellStyle name="Normal 4 2 4 4 2 2 2 3" xfId="11173"/>
    <cellStyle name="Normal 4 2 4 4 2 2 2 4" xfId="7823"/>
    <cellStyle name="Normal 4 2 4 4 2 2 3" xfId="5181"/>
    <cellStyle name="Normal 4 2 4 4 2 2 3 2" xfId="8531"/>
    <cellStyle name="Normal 4 2 4 4 2 2 4" xfId="10206"/>
    <cellStyle name="Normal 4 2 4 4 2 2 5" xfId="6856"/>
    <cellStyle name="Normal 4 2 4 4 2 3" xfId="3742"/>
    <cellStyle name="Normal 4 2 4 4 2 3 2" xfId="4709"/>
    <cellStyle name="Normal 4 2 4 4 2 3 2 2" xfId="6384"/>
    <cellStyle name="Normal 4 2 4 4 2 3 2 2 2" xfId="9734"/>
    <cellStyle name="Normal 4 2 4 4 2 3 2 3" xfId="11409"/>
    <cellStyle name="Normal 4 2 4 4 2 3 2 4" xfId="8059"/>
    <cellStyle name="Normal 4 2 4 4 2 3 3" xfId="5417"/>
    <cellStyle name="Normal 4 2 4 4 2 3 3 2" xfId="8767"/>
    <cellStyle name="Normal 4 2 4 4 2 3 4" xfId="10442"/>
    <cellStyle name="Normal 4 2 4 4 2 3 5" xfId="7092"/>
    <cellStyle name="Normal 4 2 4 4 2 4" xfId="3978"/>
    <cellStyle name="Normal 4 2 4 4 2 4 2" xfId="5653"/>
    <cellStyle name="Normal 4 2 4 4 2 4 2 2" xfId="9003"/>
    <cellStyle name="Normal 4 2 4 4 2 4 3" xfId="10678"/>
    <cellStyle name="Normal 4 2 4 4 2 4 4" xfId="7328"/>
    <cellStyle name="Normal 4 2 4 4 2 5" xfId="4237"/>
    <cellStyle name="Normal 4 2 4 4 2 5 2" xfId="5912"/>
    <cellStyle name="Normal 4 2 4 4 2 5 2 2" xfId="9262"/>
    <cellStyle name="Normal 4 2 4 4 2 5 3" xfId="10937"/>
    <cellStyle name="Normal 4 2 4 4 2 5 4" xfId="7587"/>
    <cellStyle name="Normal 4 2 4 4 2 6" xfId="4945"/>
    <cellStyle name="Normal 4 2 4 4 2 6 2" xfId="8295"/>
    <cellStyle name="Normal 4 2 4 4 2 7" xfId="9970"/>
    <cellStyle name="Normal 4 2 4 4 2 8" xfId="6620"/>
    <cellStyle name="Normal 4 2 4 4 3" xfId="3389"/>
    <cellStyle name="Normal 4 2 4 4 3 2" xfId="4355"/>
    <cellStyle name="Normal 4 2 4 4 3 2 2" xfId="6030"/>
    <cellStyle name="Normal 4 2 4 4 3 2 2 2" xfId="9380"/>
    <cellStyle name="Normal 4 2 4 4 3 2 3" xfId="11055"/>
    <cellStyle name="Normal 4 2 4 4 3 2 4" xfId="7705"/>
    <cellStyle name="Normal 4 2 4 4 3 3" xfId="5063"/>
    <cellStyle name="Normal 4 2 4 4 3 3 2" xfId="8413"/>
    <cellStyle name="Normal 4 2 4 4 3 4" xfId="10088"/>
    <cellStyle name="Normal 4 2 4 4 3 5" xfId="6738"/>
    <cellStyle name="Normal 4 2 4 4 4" xfId="3624"/>
    <cellStyle name="Normal 4 2 4 4 4 2" xfId="4591"/>
    <cellStyle name="Normal 4 2 4 4 4 2 2" xfId="6266"/>
    <cellStyle name="Normal 4 2 4 4 4 2 2 2" xfId="9616"/>
    <cellStyle name="Normal 4 2 4 4 4 2 3" xfId="11291"/>
    <cellStyle name="Normal 4 2 4 4 4 2 4" xfId="7941"/>
    <cellStyle name="Normal 4 2 4 4 4 3" xfId="5299"/>
    <cellStyle name="Normal 4 2 4 4 4 3 2" xfId="8649"/>
    <cellStyle name="Normal 4 2 4 4 4 4" xfId="10324"/>
    <cellStyle name="Normal 4 2 4 4 4 5" xfId="6974"/>
    <cellStyle name="Normal 4 2 4 4 5" xfId="3860"/>
    <cellStyle name="Normal 4 2 4 4 5 2" xfId="5535"/>
    <cellStyle name="Normal 4 2 4 4 5 2 2" xfId="8885"/>
    <cellStyle name="Normal 4 2 4 4 5 3" xfId="10560"/>
    <cellStyle name="Normal 4 2 4 4 5 4" xfId="7210"/>
    <cellStyle name="Normal 4 2 4 4 6" xfId="4119"/>
    <cellStyle name="Normal 4 2 4 4 6 2" xfId="5794"/>
    <cellStyle name="Normal 4 2 4 4 6 2 2" xfId="9144"/>
    <cellStyle name="Normal 4 2 4 4 6 3" xfId="10819"/>
    <cellStyle name="Normal 4 2 4 4 6 4" xfId="7469"/>
    <cellStyle name="Normal 4 2 4 4 7" xfId="4827"/>
    <cellStyle name="Normal 4 2 4 4 7 2" xfId="8177"/>
    <cellStyle name="Normal 4 2 4 4 8" xfId="9852"/>
    <cellStyle name="Normal 4 2 4 4 9" xfId="6502"/>
    <cellStyle name="Normal 4 2 4 5" xfId="3177"/>
    <cellStyle name="Normal 4 2 4 5 2" xfId="3295"/>
    <cellStyle name="Normal 4 2 4 5 2 2" xfId="3531"/>
    <cellStyle name="Normal 4 2 4 5 2 2 2" xfId="4497"/>
    <cellStyle name="Normal 4 2 4 5 2 2 2 2" xfId="6172"/>
    <cellStyle name="Normal 4 2 4 5 2 2 2 2 2" xfId="9522"/>
    <cellStyle name="Normal 4 2 4 5 2 2 2 3" xfId="11197"/>
    <cellStyle name="Normal 4 2 4 5 2 2 2 4" xfId="7847"/>
    <cellStyle name="Normal 4 2 4 5 2 2 3" xfId="5205"/>
    <cellStyle name="Normal 4 2 4 5 2 2 3 2" xfId="8555"/>
    <cellStyle name="Normal 4 2 4 5 2 2 4" xfId="10230"/>
    <cellStyle name="Normal 4 2 4 5 2 2 5" xfId="6880"/>
    <cellStyle name="Normal 4 2 4 5 2 3" xfId="3766"/>
    <cellStyle name="Normal 4 2 4 5 2 3 2" xfId="4733"/>
    <cellStyle name="Normal 4 2 4 5 2 3 2 2" xfId="6408"/>
    <cellStyle name="Normal 4 2 4 5 2 3 2 2 2" xfId="9758"/>
    <cellStyle name="Normal 4 2 4 5 2 3 2 3" xfId="11433"/>
    <cellStyle name="Normal 4 2 4 5 2 3 2 4" xfId="8083"/>
    <cellStyle name="Normal 4 2 4 5 2 3 3" xfId="5441"/>
    <cellStyle name="Normal 4 2 4 5 2 3 3 2" xfId="8791"/>
    <cellStyle name="Normal 4 2 4 5 2 3 4" xfId="10466"/>
    <cellStyle name="Normal 4 2 4 5 2 3 5" xfId="7116"/>
    <cellStyle name="Normal 4 2 4 5 2 4" xfId="4002"/>
    <cellStyle name="Normal 4 2 4 5 2 4 2" xfId="5677"/>
    <cellStyle name="Normal 4 2 4 5 2 4 2 2" xfId="9027"/>
    <cellStyle name="Normal 4 2 4 5 2 4 3" xfId="10702"/>
    <cellStyle name="Normal 4 2 4 5 2 4 4" xfId="7352"/>
    <cellStyle name="Normal 4 2 4 5 2 5" xfId="4261"/>
    <cellStyle name="Normal 4 2 4 5 2 5 2" xfId="5936"/>
    <cellStyle name="Normal 4 2 4 5 2 5 2 2" xfId="9286"/>
    <cellStyle name="Normal 4 2 4 5 2 5 3" xfId="10961"/>
    <cellStyle name="Normal 4 2 4 5 2 5 4" xfId="7611"/>
    <cellStyle name="Normal 4 2 4 5 2 6" xfId="4969"/>
    <cellStyle name="Normal 4 2 4 5 2 6 2" xfId="8319"/>
    <cellStyle name="Normal 4 2 4 5 2 7" xfId="9994"/>
    <cellStyle name="Normal 4 2 4 5 2 8" xfId="6644"/>
    <cellStyle name="Normal 4 2 4 5 3" xfId="3413"/>
    <cellStyle name="Normal 4 2 4 5 3 2" xfId="4379"/>
    <cellStyle name="Normal 4 2 4 5 3 2 2" xfId="6054"/>
    <cellStyle name="Normal 4 2 4 5 3 2 2 2" xfId="9404"/>
    <cellStyle name="Normal 4 2 4 5 3 2 3" xfId="11079"/>
    <cellStyle name="Normal 4 2 4 5 3 2 4" xfId="7729"/>
    <cellStyle name="Normal 4 2 4 5 3 3" xfId="5087"/>
    <cellStyle name="Normal 4 2 4 5 3 3 2" xfId="8437"/>
    <cellStyle name="Normal 4 2 4 5 3 4" xfId="10112"/>
    <cellStyle name="Normal 4 2 4 5 3 5" xfId="6762"/>
    <cellStyle name="Normal 4 2 4 5 4" xfId="3648"/>
    <cellStyle name="Normal 4 2 4 5 4 2" xfId="4615"/>
    <cellStyle name="Normal 4 2 4 5 4 2 2" xfId="6290"/>
    <cellStyle name="Normal 4 2 4 5 4 2 2 2" xfId="9640"/>
    <cellStyle name="Normal 4 2 4 5 4 2 3" xfId="11315"/>
    <cellStyle name="Normal 4 2 4 5 4 2 4" xfId="7965"/>
    <cellStyle name="Normal 4 2 4 5 4 3" xfId="5323"/>
    <cellStyle name="Normal 4 2 4 5 4 3 2" xfId="8673"/>
    <cellStyle name="Normal 4 2 4 5 4 4" xfId="10348"/>
    <cellStyle name="Normal 4 2 4 5 4 5" xfId="6998"/>
    <cellStyle name="Normal 4 2 4 5 5" xfId="3884"/>
    <cellStyle name="Normal 4 2 4 5 5 2" xfId="5559"/>
    <cellStyle name="Normal 4 2 4 5 5 2 2" xfId="8909"/>
    <cellStyle name="Normal 4 2 4 5 5 3" xfId="10584"/>
    <cellStyle name="Normal 4 2 4 5 5 4" xfId="7234"/>
    <cellStyle name="Normal 4 2 4 5 6" xfId="4143"/>
    <cellStyle name="Normal 4 2 4 5 6 2" xfId="5818"/>
    <cellStyle name="Normal 4 2 4 5 6 2 2" xfId="9168"/>
    <cellStyle name="Normal 4 2 4 5 6 3" xfId="10843"/>
    <cellStyle name="Normal 4 2 4 5 6 4" xfId="7493"/>
    <cellStyle name="Normal 4 2 4 5 7" xfId="4851"/>
    <cellStyle name="Normal 4 2 4 5 7 2" xfId="8201"/>
    <cellStyle name="Normal 4 2 4 5 8" xfId="9876"/>
    <cellStyle name="Normal 4 2 4 5 9" xfId="6526"/>
    <cellStyle name="Normal 4 2 4 6" xfId="3201"/>
    <cellStyle name="Normal 4 2 4 6 2" xfId="3437"/>
    <cellStyle name="Normal 4 2 4 6 2 2" xfId="4403"/>
    <cellStyle name="Normal 4 2 4 6 2 2 2" xfId="6078"/>
    <cellStyle name="Normal 4 2 4 6 2 2 2 2" xfId="9428"/>
    <cellStyle name="Normal 4 2 4 6 2 2 3" xfId="11103"/>
    <cellStyle name="Normal 4 2 4 6 2 2 4" xfId="7753"/>
    <cellStyle name="Normal 4 2 4 6 2 3" xfId="5111"/>
    <cellStyle name="Normal 4 2 4 6 2 3 2" xfId="8461"/>
    <cellStyle name="Normal 4 2 4 6 2 4" xfId="10136"/>
    <cellStyle name="Normal 4 2 4 6 2 5" xfId="6786"/>
    <cellStyle name="Normal 4 2 4 6 3" xfId="3672"/>
    <cellStyle name="Normal 4 2 4 6 3 2" xfId="4639"/>
    <cellStyle name="Normal 4 2 4 6 3 2 2" xfId="6314"/>
    <cellStyle name="Normal 4 2 4 6 3 2 2 2" xfId="9664"/>
    <cellStyle name="Normal 4 2 4 6 3 2 3" xfId="11339"/>
    <cellStyle name="Normal 4 2 4 6 3 2 4" xfId="7989"/>
    <cellStyle name="Normal 4 2 4 6 3 3" xfId="5347"/>
    <cellStyle name="Normal 4 2 4 6 3 3 2" xfId="8697"/>
    <cellStyle name="Normal 4 2 4 6 3 4" xfId="10372"/>
    <cellStyle name="Normal 4 2 4 6 3 5" xfId="7022"/>
    <cellStyle name="Normal 4 2 4 6 4" xfId="3908"/>
    <cellStyle name="Normal 4 2 4 6 4 2" xfId="5583"/>
    <cellStyle name="Normal 4 2 4 6 4 2 2" xfId="8933"/>
    <cellStyle name="Normal 4 2 4 6 4 3" xfId="10608"/>
    <cellStyle name="Normal 4 2 4 6 4 4" xfId="7258"/>
    <cellStyle name="Normal 4 2 4 6 5" xfId="4167"/>
    <cellStyle name="Normal 4 2 4 6 5 2" xfId="5842"/>
    <cellStyle name="Normal 4 2 4 6 5 2 2" xfId="9192"/>
    <cellStyle name="Normal 4 2 4 6 5 3" xfId="10867"/>
    <cellStyle name="Normal 4 2 4 6 5 4" xfId="7517"/>
    <cellStyle name="Normal 4 2 4 6 6" xfId="4875"/>
    <cellStyle name="Normal 4 2 4 6 6 2" xfId="8225"/>
    <cellStyle name="Normal 4 2 4 6 7" xfId="9900"/>
    <cellStyle name="Normal 4 2 4 6 8" xfId="6550"/>
    <cellStyle name="Normal 4 2 4 7" xfId="3319"/>
    <cellStyle name="Normal 4 2 4 7 2" xfId="4285"/>
    <cellStyle name="Normal 4 2 4 7 2 2" xfId="5960"/>
    <cellStyle name="Normal 4 2 4 7 2 2 2" xfId="9310"/>
    <cellStyle name="Normal 4 2 4 7 2 3" xfId="10985"/>
    <cellStyle name="Normal 4 2 4 7 2 4" xfId="7635"/>
    <cellStyle name="Normal 4 2 4 7 3" xfId="4993"/>
    <cellStyle name="Normal 4 2 4 7 3 2" xfId="8343"/>
    <cellStyle name="Normal 4 2 4 7 4" xfId="10018"/>
    <cellStyle name="Normal 4 2 4 7 5" xfId="6668"/>
    <cellStyle name="Normal 4 2 4 8" xfId="3554"/>
    <cellStyle name="Normal 4 2 4 8 2" xfId="4521"/>
    <cellStyle name="Normal 4 2 4 8 2 2" xfId="6196"/>
    <cellStyle name="Normal 4 2 4 8 2 2 2" xfId="9546"/>
    <cellStyle name="Normal 4 2 4 8 2 3" xfId="11221"/>
    <cellStyle name="Normal 4 2 4 8 2 4" xfId="7871"/>
    <cellStyle name="Normal 4 2 4 8 3" xfId="5229"/>
    <cellStyle name="Normal 4 2 4 8 3 2" xfId="8579"/>
    <cellStyle name="Normal 4 2 4 8 4" xfId="10254"/>
    <cellStyle name="Normal 4 2 4 8 5" xfId="6904"/>
    <cellStyle name="Normal 4 2 4 9" xfId="3790"/>
    <cellStyle name="Normal 4 2 4 9 2" xfId="4049"/>
    <cellStyle name="Normal 4 2 4 9 2 2" xfId="5724"/>
    <cellStyle name="Normal 4 2 4 9 2 2 2" xfId="9074"/>
    <cellStyle name="Normal 4 2 4 9 2 3" xfId="10749"/>
    <cellStyle name="Normal 4 2 4 9 2 4" xfId="7399"/>
    <cellStyle name="Normal 4 2 4 9 3" xfId="5465"/>
    <cellStyle name="Normal 4 2 4 9 3 2" xfId="8815"/>
    <cellStyle name="Normal 4 2 4 9 4" xfId="10490"/>
    <cellStyle name="Normal 4 2 4 9 5" xfId="7140"/>
    <cellStyle name="Normal 4 2 5" xfId="278"/>
    <cellStyle name="Normal 4 3" xfId="295"/>
    <cellStyle name="Normal 4 3 2" xfId="2142"/>
    <cellStyle name="Normal 4 3 3" xfId="2143"/>
    <cellStyle name="Normal 4 3 4" xfId="2141"/>
    <cellStyle name="Normal 4 3 5" xfId="12100"/>
    <cellStyle name="Normal 4 4" xfId="352"/>
    <cellStyle name="Normal 4 4 2" xfId="2145"/>
    <cellStyle name="Normal 4 4 3" xfId="2144"/>
    <cellStyle name="Normal 4 4 3 2" xfId="2657"/>
    <cellStyle name="Normal 4 4 3 3" xfId="12101"/>
    <cellStyle name="Normal 4 4 4" xfId="2428"/>
    <cellStyle name="Normal 4 4 4 2" xfId="2821"/>
    <cellStyle name="Normal 4 5" xfId="2146"/>
    <cellStyle name="Normal 4 5 10" xfId="4027"/>
    <cellStyle name="Normal 4 5 10 2" xfId="5702"/>
    <cellStyle name="Normal 4 5 10 2 2" xfId="9052"/>
    <cellStyle name="Normal 4 5 10 3" xfId="10727"/>
    <cellStyle name="Normal 4 5 10 4" xfId="7377"/>
    <cellStyle name="Normal 4 5 11" xfId="4758"/>
    <cellStyle name="Normal 4 5 11 2" xfId="8108"/>
    <cellStyle name="Normal 4 5 12" xfId="9783"/>
    <cellStyle name="Normal 4 5 13" xfId="6433"/>
    <cellStyle name="Normal 4 5 14" xfId="12240"/>
    <cellStyle name="Normal 4 5 2" xfId="2658"/>
    <cellStyle name="Normal 4 5 2 10" xfId="3108"/>
    <cellStyle name="Normal 4 5 2 2" xfId="2849"/>
    <cellStyle name="Normal 4 5 2 2 2" xfId="3461"/>
    <cellStyle name="Normal 4 5 2 2 2 2" xfId="4427"/>
    <cellStyle name="Normal 4 5 2 2 2 2 2" xfId="6102"/>
    <cellStyle name="Normal 4 5 2 2 2 2 2 2" xfId="9452"/>
    <cellStyle name="Normal 4 5 2 2 2 2 3" xfId="11127"/>
    <cellStyle name="Normal 4 5 2 2 2 2 4" xfId="7777"/>
    <cellStyle name="Normal 4 5 2 2 2 3" xfId="5135"/>
    <cellStyle name="Normal 4 5 2 2 2 3 2" xfId="8485"/>
    <cellStyle name="Normal 4 5 2 2 2 4" xfId="10160"/>
    <cellStyle name="Normal 4 5 2 2 2 5" xfId="6810"/>
    <cellStyle name="Normal 4 5 2 2 3" xfId="3696"/>
    <cellStyle name="Normal 4 5 2 2 3 2" xfId="4663"/>
    <cellStyle name="Normal 4 5 2 2 3 2 2" xfId="6338"/>
    <cellStyle name="Normal 4 5 2 2 3 2 2 2" xfId="9688"/>
    <cellStyle name="Normal 4 5 2 2 3 2 3" xfId="11363"/>
    <cellStyle name="Normal 4 5 2 2 3 2 4" xfId="8013"/>
    <cellStyle name="Normal 4 5 2 2 3 3" xfId="5371"/>
    <cellStyle name="Normal 4 5 2 2 3 3 2" xfId="8721"/>
    <cellStyle name="Normal 4 5 2 2 3 4" xfId="10396"/>
    <cellStyle name="Normal 4 5 2 2 3 5" xfId="7046"/>
    <cellStyle name="Normal 4 5 2 2 4" xfId="3932"/>
    <cellStyle name="Normal 4 5 2 2 4 2" xfId="5607"/>
    <cellStyle name="Normal 4 5 2 2 4 2 2" xfId="8957"/>
    <cellStyle name="Normal 4 5 2 2 4 3" xfId="10632"/>
    <cellStyle name="Normal 4 5 2 2 4 4" xfId="7282"/>
    <cellStyle name="Normal 4 5 2 2 5" xfId="4191"/>
    <cellStyle name="Normal 4 5 2 2 5 2" xfId="5866"/>
    <cellStyle name="Normal 4 5 2 2 5 2 2" xfId="9216"/>
    <cellStyle name="Normal 4 5 2 2 5 3" xfId="10891"/>
    <cellStyle name="Normal 4 5 2 2 5 4" xfId="7541"/>
    <cellStyle name="Normal 4 5 2 2 6" xfId="4899"/>
    <cellStyle name="Normal 4 5 2 2 6 2" xfId="8249"/>
    <cellStyle name="Normal 4 5 2 2 7" xfId="9924"/>
    <cellStyle name="Normal 4 5 2 2 8" xfId="6574"/>
    <cellStyle name="Normal 4 5 2 2 9" xfId="3225"/>
    <cellStyle name="Normal 4 5 2 3" xfId="3343"/>
    <cellStyle name="Normal 4 5 2 3 2" xfId="4309"/>
    <cellStyle name="Normal 4 5 2 3 2 2" xfId="5984"/>
    <cellStyle name="Normal 4 5 2 3 2 2 2" xfId="9334"/>
    <cellStyle name="Normal 4 5 2 3 2 3" xfId="11009"/>
    <cellStyle name="Normal 4 5 2 3 2 4" xfId="7659"/>
    <cellStyle name="Normal 4 5 2 3 3" xfId="5017"/>
    <cellStyle name="Normal 4 5 2 3 3 2" xfId="8367"/>
    <cellStyle name="Normal 4 5 2 3 4" xfId="10042"/>
    <cellStyle name="Normal 4 5 2 3 5" xfId="6692"/>
    <cellStyle name="Normal 4 5 2 4" xfId="3578"/>
    <cellStyle name="Normal 4 5 2 4 2" xfId="4545"/>
    <cellStyle name="Normal 4 5 2 4 2 2" xfId="6220"/>
    <cellStyle name="Normal 4 5 2 4 2 2 2" xfId="9570"/>
    <cellStyle name="Normal 4 5 2 4 2 3" xfId="11245"/>
    <cellStyle name="Normal 4 5 2 4 2 4" xfId="7895"/>
    <cellStyle name="Normal 4 5 2 4 3" xfId="5253"/>
    <cellStyle name="Normal 4 5 2 4 3 2" xfId="8603"/>
    <cellStyle name="Normal 4 5 2 4 4" xfId="10278"/>
    <cellStyle name="Normal 4 5 2 4 5" xfId="6928"/>
    <cellStyle name="Normal 4 5 2 5" xfId="3814"/>
    <cellStyle name="Normal 4 5 2 5 2" xfId="5489"/>
    <cellStyle name="Normal 4 5 2 5 2 2" xfId="8839"/>
    <cellStyle name="Normal 4 5 2 5 3" xfId="10514"/>
    <cellStyle name="Normal 4 5 2 5 4" xfId="7164"/>
    <cellStyle name="Normal 4 5 2 6" xfId="4073"/>
    <cellStyle name="Normal 4 5 2 6 2" xfId="5748"/>
    <cellStyle name="Normal 4 5 2 6 2 2" xfId="9098"/>
    <cellStyle name="Normal 4 5 2 6 3" xfId="10773"/>
    <cellStyle name="Normal 4 5 2 6 4" xfId="7423"/>
    <cellStyle name="Normal 4 5 2 7" xfId="4781"/>
    <cellStyle name="Normal 4 5 2 7 2" xfId="8131"/>
    <cellStyle name="Normal 4 5 2 8" xfId="9806"/>
    <cellStyle name="Normal 4 5 2 9" xfId="6456"/>
    <cellStyle name="Normal 4 5 3" xfId="3131"/>
    <cellStyle name="Normal 4 5 3 2" xfId="3248"/>
    <cellStyle name="Normal 4 5 3 2 2" xfId="3484"/>
    <cellStyle name="Normal 4 5 3 2 2 2" xfId="4450"/>
    <cellStyle name="Normal 4 5 3 2 2 2 2" xfId="6125"/>
    <cellStyle name="Normal 4 5 3 2 2 2 2 2" xfId="9475"/>
    <cellStyle name="Normal 4 5 3 2 2 2 3" xfId="11150"/>
    <cellStyle name="Normal 4 5 3 2 2 2 4" xfId="7800"/>
    <cellStyle name="Normal 4 5 3 2 2 3" xfId="5158"/>
    <cellStyle name="Normal 4 5 3 2 2 3 2" xfId="8508"/>
    <cellStyle name="Normal 4 5 3 2 2 4" xfId="10183"/>
    <cellStyle name="Normal 4 5 3 2 2 5" xfId="6833"/>
    <cellStyle name="Normal 4 5 3 2 3" xfId="3719"/>
    <cellStyle name="Normal 4 5 3 2 3 2" xfId="4686"/>
    <cellStyle name="Normal 4 5 3 2 3 2 2" xfId="6361"/>
    <cellStyle name="Normal 4 5 3 2 3 2 2 2" xfId="9711"/>
    <cellStyle name="Normal 4 5 3 2 3 2 3" xfId="11386"/>
    <cellStyle name="Normal 4 5 3 2 3 2 4" xfId="8036"/>
    <cellStyle name="Normal 4 5 3 2 3 3" xfId="5394"/>
    <cellStyle name="Normal 4 5 3 2 3 3 2" xfId="8744"/>
    <cellStyle name="Normal 4 5 3 2 3 4" xfId="10419"/>
    <cellStyle name="Normal 4 5 3 2 3 5" xfId="7069"/>
    <cellStyle name="Normal 4 5 3 2 4" xfId="3955"/>
    <cellStyle name="Normal 4 5 3 2 4 2" xfId="5630"/>
    <cellStyle name="Normal 4 5 3 2 4 2 2" xfId="8980"/>
    <cellStyle name="Normal 4 5 3 2 4 3" xfId="10655"/>
    <cellStyle name="Normal 4 5 3 2 4 4" xfId="7305"/>
    <cellStyle name="Normal 4 5 3 2 5" xfId="4214"/>
    <cellStyle name="Normal 4 5 3 2 5 2" xfId="5889"/>
    <cellStyle name="Normal 4 5 3 2 5 2 2" xfId="9239"/>
    <cellStyle name="Normal 4 5 3 2 5 3" xfId="10914"/>
    <cellStyle name="Normal 4 5 3 2 5 4" xfId="7564"/>
    <cellStyle name="Normal 4 5 3 2 6" xfId="4922"/>
    <cellStyle name="Normal 4 5 3 2 6 2" xfId="8272"/>
    <cellStyle name="Normal 4 5 3 2 7" xfId="9947"/>
    <cellStyle name="Normal 4 5 3 2 8" xfId="6597"/>
    <cellStyle name="Normal 4 5 3 3" xfId="3366"/>
    <cellStyle name="Normal 4 5 3 3 2" xfId="4332"/>
    <cellStyle name="Normal 4 5 3 3 2 2" xfId="6007"/>
    <cellStyle name="Normal 4 5 3 3 2 2 2" xfId="9357"/>
    <cellStyle name="Normal 4 5 3 3 2 3" xfId="11032"/>
    <cellStyle name="Normal 4 5 3 3 2 4" xfId="7682"/>
    <cellStyle name="Normal 4 5 3 3 3" xfId="5040"/>
    <cellStyle name="Normal 4 5 3 3 3 2" xfId="8390"/>
    <cellStyle name="Normal 4 5 3 3 4" xfId="10065"/>
    <cellStyle name="Normal 4 5 3 3 5" xfId="6715"/>
    <cellStyle name="Normal 4 5 3 4" xfId="3601"/>
    <cellStyle name="Normal 4 5 3 4 2" xfId="4568"/>
    <cellStyle name="Normal 4 5 3 4 2 2" xfId="6243"/>
    <cellStyle name="Normal 4 5 3 4 2 2 2" xfId="9593"/>
    <cellStyle name="Normal 4 5 3 4 2 3" xfId="11268"/>
    <cellStyle name="Normal 4 5 3 4 2 4" xfId="7918"/>
    <cellStyle name="Normal 4 5 3 4 3" xfId="5276"/>
    <cellStyle name="Normal 4 5 3 4 3 2" xfId="8626"/>
    <cellStyle name="Normal 4 5 3 4 4" xfId="10301"/>
    <cellStyle name="Normal 4 5 3 4 5" xfId="6951"/>
    <cellStyle name="Normal 4 5 3 5" xfId="3837"/>
    <cellStyle name="Normal 4 5 3 5 2" xfId="5512"/>
    <cellStyle name="Normal 4 5 3 5 2 2" xfId="8862"/>
    <cellStyle name="Normal 4 5 3 5 3" xfId="10537"/>
    <cellStyle name="Normal 4 5 3 5 4" xfId="7187"/>
    <cellStyle name="Normal 4 5 3 6" xfId="4096"/>
    <cellStyle name="Normal 4 5 3 6 2" xfId="5771"/>
    <cellStyle name="Normal 4 5 3 6 2 2" xfId="9121"/>
    <cellStyle name="Normal 4 5 3 6 3" xfId="10796"/>
    <cellStyle name="Normal 4 5 3 6 4" xfId="7446"/>
    <cellStyle name="Normal 4 5 3 7" xfId="4804"/>
    <cellStyle name="Normal 4 5 3 7 2" xfId="8154"/>
    <cellStyle name="Normal 4 5 3 8" xfId="9829"/>
    <cellStyle name="Normal 4 5 3 9" xfId="6479"/>
    <cellStyle name="Normal 4 5 4" xfId="3154"/>
    <cellStyle name="Normal 4 5 4 2" xfId="3272"/>
    <cellStyle name="Normal 4 5 4 2 2" xfId="3508"/>
    <cellStyle name="Normal 4 5 4 2 2 2" xfId="4474"/>
    <cellStyle name="Normal 4 5 4 2 2 2 2" xfId="6149"/>
    <cellStyle name="Normal 4 5 4 2 2 2 2 2" xfId="9499"/>
    <cellStyle name="Normal 4 5 4 2 2 2 3" xfId="11174"/>
    <cellStyle name="Normal 4 5 4 2 2 2 4" xfId="7824"/>
    <cellStyle name="Normal 4 5 4 2 2 3" xfId="5182"/>
    <cellStyle name="Normal 4 5 4 2 2 3 2" xfId="8532"/>
    <cellStyle name="Normal 4 5 4 2 2 4" xfId="10207"/>
    <cellStyle name="Normal 4 5 4 2 2 5" xfId="6857"/>
    <cellStyle name="Normal 4 5 4 2 3" xfId="3743"/>
    <cellStyle name="Normal 4 5 4 2 3 2" xfId="4710"/>
    <cellStyle name="Normal 4 5 4 2 3 2 2" xfId="6385"/>
    <cellStyle name="Normal 4 5 4 2 3 2 2 2" xfId="9735"/>
    <cellStyle name="Normal 4 5 4 2 3 2 3" xfId="11410"/>
    <cellStyle name="Normal 4 5 4 2 3 2 4" xfId="8060"/>
    <cellStyle name="Normal 4 5 4 2 3 3" xfId="5418"/>
    <cellStyle name="Normal 4 5 4 2 3 3 2" xfId="8768"/>
    <cellStyle name="Normal 4 5 4 2 3 4" xfId="10443"/>
    <cellStyle name="Normal 4 5 4 2 3 5" xfId="7093"/>
    <cellStyle name="Normal 4 5 4 2 4" xfId="3979"/>
    <cellStyle name="Normal 4 5 4 2 4 2" xfId="5654"/>
    <cellStyle name="Normal 4 5 4 2 4 2 2" xfId="9004"/>
    <cellStyle name="Normal 4 5 4 2 4 3" xfId="10679"/>
    <cellStyle name="Normal 4 5 4 2 4 4" xfId="7329"/>
    <cellStyle name="Normal 4 5 4 2 5" xfId="4238"/>
    <cellStyle name="Normal 4 5 4 2 5 2" xfId="5913"/>
    <cellStyle name="Normal 4 5 4 2 5 2 2" xfId="9263"/>
    <cellStyle name="Normal 4 5 4 2 5 3" xfId="10938"/>
    <cellStyle name="Normal 4 5 4 2 5 4" xfId="7588"/>
    <cellStyle name="Normal 4 5 4 2 6" xfId="4946"/>
    <cellStyle name="Normal 4 5 4 2 6 2" xfId="8296"/>
    <cellStyle name="Normal 4 5 4 2 7" xfId="9971"/>
    <cellStyle name="Normal 4 5 4 2 8" xfId="6621"/>
    <cellStyle name="Normal 4 5 4 3" xfId="3390"/>
    <cellStyle name="Normal 4 5 4 3 2" xfId="4356"/>
    <cellStyle name="Normal 4 5 4 3 2 2" xfId="6031"/>
    <cellStyle name="Normal 4 5 4 3 2 2 2" xfId="9381"/>
    <cellStyle name="Normal 4 5 4 3 2 3" xfId="11056"/>
    <cellStyle name="Normal 4 5 4 3 2 4" xfId="7706"/>
    <cellStyle name="Normal 4 5 4 3 3" xfId="5064"/>
    <cellStyle name="Normal 4 5 4 3 3 2" xfId="8414"/>
    <cellStyle name="Normal 4 5 4 3 4" xfId="10089"/>
    <cellStyle name="Normal 4 5 4 3 5" xfId="6739"/>
    <cellStyle name="Normal 4 5 4 4" xfId="3625"/>
    <cellStyle name="Normal 4 5 4 4 2" xfId="4592"/>
    <cellStyle name="Normal 4 5 4 4 2 2" xfId="6267"/>
    <cellStyle name="Normal 4 5 4 4 2 2 2" xfId="9617"/>
    <cellStyle name="Normal 4 5 4 4 2 3" xfId="11292"/>
    <cellStyle name="Normal 4 5 4 4 2 4" xfId="7942"/>
    <cellStyle name="Normal 4 5 4 4 3" xfId="5300"/>
    <cellStyle name="Normal 4 5 4 4 3 2" xfId="8650"/>
    <cellStyle name="Normal 4 5 4 4 4" xfId="10325"/>
    <cellStyle name="Normal 4 5 4 4 5" xfId="6975"/>
    <cellStyle name="Normal 4 5 4 5" xfId="3861"/>
    <cellStyle name="Normal 4 5 4 5 2" xfId="5536"/>
    <cellStyle name="Normal 4 5 4 5 2 2" xfId="8886"/>
    <cellStyle name="Normal 4 5 4 5 3" xfId="10561"/>
    <cellStyle name="Normal 4 5 4 5 4" xfId="7211"/>
    <cellStyle name="Normal 4 5 4 6" xfId="4120"/>
    <cellStyle name="Normal 4 5 4 6 2" xfId="5795"/>
    <cellStyle name="Normal 4 5 4 6 2 2" xfId="9145"/>
    <cellStyle name="Normal 4 5 4 6 3" xfId="10820"/>
    <cellStyle name="Normal 4 5 4 6 4" xfId="7470"/>
    <cellStyle name="Normal 4 5 4 7" xfId="4828"/>
    <cellStyle name="Normal 4 5 4 7 2" xfId="8178"/>
    <cellStyle name="Normal 4 5 4 8" xfId="9853"/>
    <cellStyle name="Normal 4 5 4 9" xfId="6503"/>
    <cellStyle name="Normal 4 5 5" xfId="3178"/>
    <cellStyle name="Normal 4 5 5 2" xfId="3296"/>
    <cellStyle name="Normal 4 5 5 2 2" xfId="3532"/>
    <cellStyle name="Normal 4 5 5 2 2 2" xfId="4498"/>
    <cellStyle name="Normal 4 5 5 2 2 2 2" xfId="6173"/>
    <cellStyle name="Normal 4 5 5 2 2 2 2 2" xfId="9523"/>
    <cellStyle name="Normal 4 5 5 2 2 2 3" xfId="11198"/>
    <cellStyle name="Normal 4 5 5 2 2 2 4" xfId="7848"/>
    <cellStyle name="Normal 4 5 5 2 2 3" xfId="5206"/>
    <cellStyle name="Normal 4 5 5 2 2 3 2" xfId="8556"/>
    <cellStyle name="Normal 4 5 5 2 2 4" xfId="10231"/>
    <cellStyle name="Normal 4 5 5 2 2 5" xfId="6881"/>
    <cellStyle name="Normal 4 5 5 2 3" xfId="3767"/>
    <cellStyle name="Normal 4 5 5 2 3 2" xfId="4734"/>
    <cellStyle name="Normal 4 5 5 2 3 2 2" xfId="6409"/>
    <cellStyle name="Normal 4 5 5 2 3 2 2 2" xfId="9759"/>
    <cellStyle name="Normal 4 5 5 2 3 2 3" xfId="11434"/>
    <cellStyle name="Normal 4 5 5 2 3 2 4" xfId="8084"/>
    <cellStyle name="Normal 4 5 5 2 3 3" xfId="5442"/>
    <cellStyle name="Normal 4 5 5 2 3 3 2" xfId="8792"/>
    <cellStyle name="Normal 4 5 5 2 3 4" xfId="10467"/>
    <cellStyle name="Normal 4 5 5 2 3 5" xfId="7117"/>
    <cellStyle name="Normal 4 5 5 2 4" xfId="4003"/>
    <cellStyle name="Normal 4 5 5 2 4 2" xfId="5678"/>
    <cellStyle name="Normal 4 5 5 2 4 2 2" xfId="9028"/>
    <cellStyle name="Normal 4 5 5 2 4 3" xfId="10703"/>
    <cellStyle name="Normal 4 5 5 2 4 4" xfId="7353"/>
    <cellStyle name="Normal 4 5 5 2 5" xfId="4262"/>
    <cellStyle name="Normal 4 5 5 2 5 2" xfId="5937"/>
    <cellStyle name="Normal 4 5 5 2 5 2 2" xfId="9287"/>
    <cellStyle name="Normal 4 5 5 2 5 3" xfId="10962"/>
    <cellStyle name="Normal 4 5 5 2 5 4" xfId="7612"/>
    <cellStyle name="Normal 4 5 5 2 6" xfId="4970"/>
    <cellStyle name="Normal 4 5 5 2 6 2" xfId="8320"/>
    <cellStyle name="Normal 4 5 5 2 7" xfId="9995"/>
    <cellStyle name="Normal 4 5 5 2 8" xfId="6645"/>
    <cellStyle name="Normal 4 5 5 3" xfId="3414"/>
    <cellStyle name="Normal 4 5 5 3 2" xfId="4380"/>
    <cellStyle name="Normal 4 5 5 3 2 2" xfId="6055"/>
    <cellStyle name="Normal 4 5 5 3 2 2 2" xfId="9405"/>
    <cellStyle name="Normal 4 5 5 3 2 3" xfId="11080"/>
    <cellStyle name="Normal 4 5 5 3 2 4" xfId="7730"/>
    <cellStyle name="Normal 4 5 5 3 3" xfId="5088"/>
    <cellStyle name="Normal 4 5 5 3 3 2" xfId="8438"/>
    <cellStyle name="Normal 4 5 5 3 4" xfId="10113"/>
    <cellStyle name="Normal 4 5 5 3 5" xfId="6763"/>
    <cellStyle name="Normal 4 5 5 4" xfId="3649"/>
    <cellStyle name="Normal 4 5 5 4 2" xfId="4616"/>
    <cellStyle name="Normal 4 5 5 4 2 2" xfId="6291"/>
    <cellStyle name="Normal 4 5 5 4 2 2 2" xfId="9641"/>
    <cellStyle name="Normal 4 5 5 4 2 3" xfId="11316"/>
    <cellStyle name="Normal 4 5 5 4 2 4" xfId="7966"/>
    <cellStyle name="Normal 4 5 5 4 3" xfId="5324"/>
    <cellStyle name="Normal 4 5 5 4 3 2" xfId="8674"/>
    <cellStyle name="Normal 4 5 5 4 4" xfId="10349"/>
    <cellStyle name="Normal 4 5 5 4 5" xfId="6999"/>
    <cellStyle name="Normal 4 5 5 5" xfId="3885"/>
    <cellStyle name="Normal 4 5 5 5 2" xfId="5560"/>
    <cellStyle name="Normal 4 5 5 5 2 2" xfId="8910"/>
    <cellStyle name="Normal 4 5 5 5 3" xfId="10585"/>
    <cellStyle name="Normal 4 5 5 5 4" xfId="7235"/>
    <cellStyle name="Normal 4 5 5 6" xfId="4144"/>
    <cellStyle name="Normal 4 5 5 6 2" xfId="5819"/>
    <cellStyle name="Normal 4 5 5 6 2 2" xfId="9169"/>
    <cellStyle name="Normal 4 5 5 6 3" xfId="10844"/>
    <cellStyle name="Normal 4 5 5 6 4" xfId="7494"/>
    <cellStyle name="Normal 4 5 5 7" xfId="4852"/>
    <cellStyle name="Normal 4 5 5 7 2" xfId="8202"/>
    <cellStyle name="Normal 4 5 5 8" xfId="9877"/>
    <cellStyle name="Normal 4 5 5 9" xfId="6527"/>
    <cellStyle name="Normal 4 5 6" xfId="3202"/>
    <cellStyle name="Normal 4 5 6 2" xfId="3438"/>
    <cellStyle name="Normal 4 5 6 2 2" xfId="4404"/>
    <cellStyle name="Normal 4 5 6 2 2 2" xfId="6079"/>
    <cellStyle name="Normal 4 5 6 2 2 2 2" xfId="9429"/>
    <cellStyle name="Normal 4 5 6 2 2 3" xfId="11104"/>
    <cellStyle name="Normal 4 5 6 2 2 4" xfId="7754"/>
    <cellStyle name="Normal 4 5 6 2 3" xfId="5112"/>
    <cellStyle name="Normal 4 5 6 2 3 2" xfId="8462"/>
    <cellStyle name="Normal 4 5 6 2 4" xfId="10137"/>
    <cellStyle name="Normal 4 5 6 2 5" xfId="6787"/>
    <cellStyle name="Normal 4 5 6 3" xfId="3673"/>
    <cellStyle name="Normal 4 5 6 3 2" xfId="4640"/>
    <cellStyle name="Normal 4 5 6 3 2 2" xfId="6315"/>
    <cellStyle name="Normal 4 5 6 3 2 2 2" xfId="9665"/>
    <cellStyle name="Normal 4 5 6 3 2 3" xfId="11340"/>
    <cellStyle name="Normal 4 5 6 3 2 4" xfId="7990"/>
    <cellStyle name="Normal 4 5 6 3 3" xfId="5348"/>
    <cellStyle name="Normal 4 5 6 3 3 2" xfId="8698"/>
    <cellStyle name="Normal 4 5 6 3 4" xfId="10373"/>
    <cellStyle name="Normal 4 5 6 3 5" xfId="7023"/>
    <cellStyle name="Normal 4 5 6 4" xfId="3909"/>
    <cellStyle name="Normal 4 5 6 4 2" xfId="5584"/>
    <cellStyle name="Normal 4 5 6 4 2 2" xfId="8934"/>
    <cellStyle name="Normal 4 5 6 4 3" xfId="10609"/>
    <cellStyle name="Normal 4 5 6 4 4" xfId="7259"/>
    <cellStyle name="Normal 4 5 6 5" xfId="4168"/>
    <cellStyle name="Normal 4 5 6 5 2" xfId="5843"/>
    <cellStyle name="Normal 4 5 6 5 2 2" xfId="9193"/>
    <cellStyle name="Normal 4 5 6 5 3" xfId="10868"/>
    <cellStyle name="Normal 4 5 6 5 4" xfId="7518"/>
    <cellStyle name="Normal 4 5 6 6" xfId="4876"/>
    <cellStyle name="Normal 4 5 6 6 2" xfId="8226"/>
    <cellStyle name="Normal 4 5 6 7" xfId="9901"/>
    <cellStyle name="Normal 4 5 6 8" xfId="6551"/>
    <cellStyle name="Normal 4 5 7" xfId="3320"/>
    <cellStyle name="Normal 4 5 7 2" xfId="4286"/>
    <cellStyle name="Normal 4 5 7 2 2" xfId="5961"/>
    <cellStyle name="Normal 4 5 7 2 2 2" xfId="9311"/>
    <cellStyle name="Normal 4 5 7 2 3" xfId="10986"/>
    <cellStyle name="Normal 4 5 7 2 4" xfId="7636"/>
    <cellStyle name="Normal 4 5 7 3" xfId="4994"/>
    <cellStyle name="Normal 4 5 7 3 2" xfId="8344"/>
    <cellStyle name="Normal 4 5 7 4" xfId="10019"/>
    <cellStyle name="Normal 4 5 7 5" xfId="6669"/>
    <cellStyle name="Normal 4 5 8" xfId="3555"/>
    <cellStyle name="Normal 4 5 8 2" xfId="4522"/>
    <cellStyle name="Normal 4 5 8 2 2" xfId="6197"/>
    <cellStyle name="Normal 4 5 8 2 2 2" xfId="9547"/>
    <cellStyle name="Normal 4 5 8 2 3" xfId="11222"/>
    <cellStyle name="Normal 4 5 8 2 4" xfId="7872"/>
    <cellStyle name="Normal 4 5 8 3" xfId="5230"/>
    <cellStyle name="Normal 4 5 8 3 2" xfId="8580"/>
    <cellStyle name="Normal 4 5 8 4" xfId="10255"/>
    <cellStyle name="Normal 4 5 8 5" xfId="6905"/>
    <cellStyle name="Normal 4 5 9" xfId="3791"/>
    <cellStyle name="Normal 4 5 9 2" xfId="4050"/>
    <cellStyle name="Normal 4 5 9 2 2" xfId="5725"/>
    <cellStyle name="Normal 4 5 9 2 2 2" xfId="9075"/>
    <cellStyle name="Normal 4 5 9 2 3" xfId="10750"/>
    <cellStyle name="Normal 4 5 9 2 4" xfId="7400"/>
    <cellStyle name="Normal 4 5 9 3" xfId="5466"/>
    <cellStyle name="Normal 4 5 9 3 2" xfId="8816"/>
    <cellStyle name="Normal 4 5 9 4" xfId="10491"/>
    <cellStyle name="Normal 4 5 9 5" xfId="7141"/>
    <cellStyle name="Normal 4 6" xfId="2137"/>
    <cellStyle name="Normal 4 7" xfId="58"/>
    <cellStyle name="Normal 5" xfId="57"/>
    <cellStyle name="Normal 5 2" xfId="279"/>
    <cellStyle name="Normal 5 2 2" xfId="374"/>
    <cellStyle name="Normal 5 2 2 2" xfId="2429"/>
    <cellStyle name="Normal 5 2 2 2 2" xfId="2659"/>
    <cellStyle name="Normal 5 2 2 2 2 2" xfId="2850"/>
    <cellStyle name="Normal 5 2 2 3" xfId="2787"/>
    <cellStyle name="Normal 5 2 2 4" xfId="12102"/>
    <cellStyle name="Normal 5 2 3" xfId="2148"/>
    <cellStyle name="Normal 5 2 4" xfId="2149"/>
    <cellStyle name="Normal 5 2 5" xfId="2660"/>
    <cellStyle name="Normal 5 2 5 2" xfId="2851"/>
    <cellStyle name="Normal 5 2 6" xfId="2763"/>
    <cellStyle name="Normal 5 2 7" xfId="12103"/>
    <cellStyle name="Normal 5 2 8" xfId="12104"/>
    <cellStyle name="Normal 5 3" xfId="358"/>
    <cellStyle name="Normal 5 3 2" xfId="2661"/>
    <cellStyle name="Normal 5 3 2 2" xfId="2852"/>
    <cellStyle name="Normal 5 3 3" xfId="2662"/>
    <cellStyle name="Normal 5 3 4" xfId="2771"/>
    <cellStyle name="Normal 5 3 5" xfId="12105"/>
    <cellStyle name="Normal 5 4" xfId="2150"/>
    <cellStyle name="Normal 5 4 10" xfId="4028"/>
    <cellStyle name="Normal 5 4 10 2" xfId="5703"/>
    <cellStyle name="Normal 5 4 10 2 2" xfId="9053"/>
    <cellStyle name="Normal 5 4 10 3" xfId="10728"/>
    <cellStyle name="Normal 5 4 10 4" xfId="7378"/>
    <cellStyle name="Normal 5 4 11" xfId="4759"/>
    <cellStyle name="Normal 5 4 11 2" xfId="8109"/>
    <cellStyle name="Normal 5 4 12" xfId="9784"/>
    <cellStyle name="Normal 5 4 13" xfId="6434"/>
    <cellStyle name="Normal 5 4 14" xfId="12241"/>
    <cellStyle name="Normal 5 4 2" xfId="2430"/>
    <cellStyle name="Normal 5 4 2 10" xfId="3109"/>
    <cellStyle name="Normal 5 4 2 2" xfId="3226"/>
    <cellStyle name="Normal 5 4 2 2 2" xfId="3462"/>
    <cellStyle name="Normal 5 4 2 2 2 2" xfId="4428"/>
    <cellStyle name="Normal 5 4 2 2 2 2 2" xfId="6103"/>
    <cellStyle name="Normal 5 4 2 2 2 2 2 2" xfId="9453"/>
    <cellStyle name="Normal 5 4 2 2 2 2 3" xfId="11128"/>
    <cellStyle name="Normal 5 4 2 2 2 2 4" xfId="7778"/>
    <cellStyle name="Normal 5 4 2 2 2 3" xfId="5136"/>
    <cellStyle name="Normal 5 4 2 2 2 3 2" xfId="8486"/>
    <cellStyle name="Normal 5 4 2 2 2 4" xfId="10161"/>
    <cellStyle name="Normal 5 4 2 2 2 5" xfId="6811"/>
    <cellStyle name="Normal 5 4 2 2 3" xfId="3697"/>
    <cellStyle name="Normal 5 4 2 2 3 2" xfId="4664"/>
    <cellStyle name="Normal 5 4 2 2 3 2 2" xfId="6339"/>
    <cellStyle name="Normal 5 4 2 2 3 2 2 2" xfId="9689"/>
    <cellStyle name="Normal 5 4 2 2 3 2 3" xfId="11364"/>
    <cellStyle name="Normal 5 4 2 2 3 2 4" xfId="8014"/>
    <cellStyle name="Normal 5 4 2 2 3 3" xfId="5372"/>
    <cellStyle name="Normal 5 4 2 2 3 3 2" xfId="8722"/>
    <cellStyle name="Normal 5 4 2 2 3 4" xfId="10397"/>
    <cellStyle name="Normal 5 4 2 2 3 5" xfId="7047"/>
    <cellStyle name="Normal 5 4 2 2 4" xfId="3933"/>
    <cellStyle name="Normal 5 4 2 2 4 2" xfId="5608"/>
    <cellStyle name="Normal 5 4 2 2 4 2 2" xfId="8958"/>
    <cellStyle name="Normal 5 4 2 2 4 3" xfId="10633"/>
    <cellStyle name="Normal 5 4 2 2 4 4" xfId="7283"/>
    <cellStyle name="Normal 5 4 2 2 5" xfId="4192"/>
    <cellStyle name="Normal 5 4 2 2 5 2" xfId="5867"/>
    <cellStyle name="Normal 5 4 2 2 5 2 2" xfId="9217"/>
    <cellStyle name="Normal 5 4 2 2 5 3" xfId="10892"/>
    <cellStyle name="Normal 5 4 2 2 5 4" xfId="7542"/>
    <cellStyle name="Normal 5 4 2 2 6" xfId="4900"/>
    <cellStyle name="Normal 5 4 2 2 6 2" xfId="8250"/>
    <cellStyle name="Normal 5 4 2 2 7" xfId="9925"/>
    <cellStyle name="Normal 5 4 2 2 8" xfId="6575"/>
    <cellStyle name="Normal 5 4 2 3" xfId="3344"/>
    <cellStyle name="Normal 5 4 2 3 2" xfId="4310"/>
    <cellStyle name="Normal 5 4 2 3 2 2" xfId="5985"/>
    <cellStyle name="Normal 5 4 2 3 2 2 2" xfId="9335"/>
    <cellStyle name="Normal 5 4 2 3 2 3" xfId="11010"/>
    <cellStyle name="Normal 5 4 2 3 2 4" xfId="7660"/>
    <cellStyle name="Normal 5 4 2 3 3" xfId="5018"/>
    <cellStyle name="Normal 5 4 2 3 3 2" xfId="8368"/>
    <cellStyle name="Normal 5 4 2 3 4" xfId="10043"/>
    <cellStyle name="Normal 5 4 2 3 5" xfId="6693"/>
    <cellStyle name="Normal 5 4 2 4" xfId="3579"/>
    <cellStyle name="Normal 5 4 2 4 2" xfId="4546"/>
    <cellStyle name="Normal 5 4 2 4 2 2" xfId="6221"/>
    <cellStyle name="Normal 5 4 2 4 2 2 2" xfId="9571"/>
    <cellStyle name="Normal 5 4 2 4 2 3" xfId="11246"/>
    <cellStyle name="Normal 5 4 2 4 2 4" xfId="7896"/>
    <cellStyle name="Normal 5 4 2 4 3" xfId="5254"/>
    <cellStyle name="Normal 5 4 2 4 3 2" xfId="8604"/>
    <cellStyle name="Normal 5 4 2 4 4" xfId="10279"/>
    <cellStyle name="Normal 5 4 2 4 5" xfId="6929"/>
    <cellStyle name="Normal 5 4 2 5" xfId="3815"/>
    <cellStyle name="Normal 5 4 2 5 2" xfId="5490"/>
    <cellStyle name="Normal 5 4 2 5 2 2" xfId="8840"/>
    <cellStyle name="Normal 5 4 2 5 3" xfId="10515"/>
    <cellStyle name="Normal 5 4 2 5 4" xfId="7165"/>
    <cellStyle name="Normal 5 4 2 6" xfId="4074"/>
    <cellStyle name="Normal 5 4 2 6 2" xfId="5749"/>
    <cellStyle name="Normal 5 4 2 6 2 2" xfId="9099"/>
    <cellStyle name="Normal 5 4 2 6 3" xfId="10774"/>
    <cellStyle name="Normal 5 4 2 6 4" xfId="7424"/>
    <cellStyle name="Normal 5 4 2 7" xfId="4782"/>
    <cellStyle name="Normal 5 4 2 7 2" xfId="8132"/>
    <cellStyle name="Normal 5 4 2 8" xfId="9807"/>
    <cellStyle name="Normal 5 4 2 9" xfId="6457"/>
    <cellStyle name="Normal 5 4 3" xfId="3132"/>
    <cellStyle name="Normal 5 4 3 2" xfId="3249"/>
    <cellStyle name="Normal 5 4 3 2 2" xfId="3485"/>
    <cellStyle name="Normal 5 4 3 2 2 2" xfId="4451"/>
    <cellStyle name="Normal 5 4 3 2 2 2 2" xfId="6126"/>
    <cellStyle name="Normal 5 4 3 2 2 2 2 2" xfId="9476"/>
    <cellStyle name="Normal 5 4 3 2 2 2 3" xfId="11151"/>
    <cellStyle name="Normal 5 4 3 2 2 2 4" xfId="7801"/>
    <cellStyle name="Normal 5 4 3 2 2 3" xfId="5159"/>
    <cellStyle name="Normal 5 4 3 2 2 3 2" xfId="8509"/>
    <cellStyle name="Normal 5 4 3 2 2 4" xfId="10184"/>
    <cellStyle name="Normal 5 4 3 2 2 5" xfId="6834"/>
    <cellStyle name="Normal 5 4 3 2 3" xfId="3720"/>
    <cellStyle name="Normal 5 4 3 2 3 2" xfId="4687"/>
    <cellStyle name="Normal 5 4 3 2 3 2 2" xfId="6362"/>
    <cellStyle name="Normal 5 4 3 2 3 2 2 2" xfId="9712"/>
    <cellStyle name="Normal 5 4 3 2 3 2 3" xfId="11387"/>
    <cellStyle name="Normal 5 4 3 2 3 2 4" xfId="8037"/>
    <cellStyle name="Normal 5 4 3 2 3 3" xfId="5395"/>
    <cellStyle name="Normal 5 4 3 2 3 3 2" xfId="8745"/>
    <cellStyle name="Normal 5 4 3 2 3 4" xfId="10420"/>
    <cellStyle name="Normal 5 4 3 2 3 5" xfId="7070"/>
    <cellStyle name="Normal 5 4 3 2 4" xfId="3956"/>
    <cellStyle name="Normal 5 4 3 2 4 2" xfId="5631"/>
    <cellStyle name="Normal 5 4 3 2 4 2 2" xfId="8981"/>
    <cellStyle name="Normal 5 4 3 2 4 3" xfId="10656"/>
    <cellStyle name="Normal 5 4 3 2 4 4" xfId="7306"/>
    <cellStyle name="Normal 5 4 3 2 5" xfId="4215"/>
    <cellStyle name="Normal 5 4 3 2 5 2" xfId="5890"/>
    <cellStyle name="Normal 5 4 3 2 5 2 2" xfId="9240"/>
    <cellStyle name="Normal 5 4 3 2 5 3" xfId="10915"/>
    <cellStyle name="Normal 5 4 3 2 5 4" xfId="7565"/>
    <cellStyle name="Normal 5 4 3 2 6" xfId="4923"/>
    <cellStyle name="Normal 5 4 3 2 6 2" xfId="8273"/>
    <cellStyle name="Normal 5 4 3 2 7" xfId="9948"/>
    <cellStyle name="Normal 5 4 3 2 8" xfId="6598"/>
    <cellStyle name="Normal 5 4 3 3" xfId="3367"/>
    <cellStyle name="Normal 5 4 3 3 2" xfId="4333"/>
    <cellStyle name="Normal 5 4 3 3 2 2" xfId="6008"/>
    <cellStyle name="Normal 5 4 3 3 2 2 2" xfId="9358"/>
    <cellStyle name="Normal 5 4 3 3 2 3" xfId="11033"/>
    <cellStyle name="Normal 5 4 3 3 2 4" xfId="7683"/>
    <cellStyle name="Normal 5 4 3 3 3" xfId="5041"/>
    <cellStyle name="Normal 5 4 3 3 3 2" xfId="8391"/>
    <cellStyle name="Normal 5 4 3 3 4" xfId="10066"/>
    <cellStyle name="Normal 5 4 3 3 5" xfId="6716"/>
    <cellStyle name="Normal 5 4 3 4" xfId="3602"/>
    <cellStyle name="Normal 5 4 3 4 2" xfId="4569"/>
    <cellStyle name="Normal 5 4 3 4 2 2" xfId="6244"/>
    <cellStyle name="Normal 5 4 3 4 2 2 2" xfId="9594"/>
    <cellStyle name="Normal 5 4 3 4 2 3" xfId="11269"/>
    <cellStyle name="Normal 5 4 3 4 2 4" xfId="7919"/>
    <cellStyle name="Normal 5 4 3 4 3" xfId="5277"/>
    <cellStyle name="Normal 5 4 3 4 3 2" xfId="8627"/>
    <cellStyle name="Normal 5 4 3 4 4" xfId="10302"/>
    <cellStyle name="Normal 5 4 3 4 5" xfId="6952"/>
    <cellStyle name="Normal 5 4 3 5" xfId="3838"/>
    <cellStyle name="Normal 5 4 3 5 2" xfId="5513"/>
    <cellStyle name="Normal 5 4 3 5 2 2" xfId="8863"/>
    <cellStyle name="Normal 5 4 3 5 3" xfId="10538"/>
    <cellStyle name="Normal 5 4 3 5 4" xfId="7188"/>
    <cellStyle name="Normal 5 4 3 6" xfId="4097"/>
    <cellStyle name="Normal 5 4 3 6 2" xfId="5772"/>
    <cellStyle name="Normal 5 4 3 6 2 2" xfId="9122"/>
    <cellStyle name="Normal 5 4 3 6 3" xfId="10797"/>
    <cellStyle name="Normal 5 4 3 6 4" xfId="7447"/>
    <cellStyle name="Normal 5 4 3 7" xfId="4805"/>
    <cellStyle name="Normal 5 4 3 7 2" xfId="8155"/>
    <cellStyle name="Normal 5 4 3 8" xfId="9830"/>
    <cellStyle name="Normal 5 4 3 9" xfId="6480"/>
    <cellStyle name="Normal 5 4 4" xfId="3155"/>
    <cellStyle name="Normal 5 4 4 2" xfId="3273"/>
    <cellStyle name="Normal 5 4 4 2 2" xfId="3509"/>
    <cellStyle name="Normal 5 4 4 2 2 2" xfId="4475"/>
    <cellStyle name="Normal 5 4 4 2 2 2 2" xfId="6150"/>
    <cellStyle name="Normal 5 4 4 2 2 2 2 2" xfId="9500"/>
    <cellStyle name="Normal 5 4 4 2 2 2 3" xfId="11175"/>
    <cellStyle name="Normal 5 4 4 2 2 2 4" xfId="7825"/>
    <cellStyle name="Normal 5 4 4 2 2 3" xfId="5183"/>
    <cellStyle name="Normal 5 4 4 2 2 3 2" xfId="8533"/>
    <cellStyle name="Normal 5 4 4 2 2 4" xfId="10208"/>
    <cellStyle name="Normal 5 4 4 2 2 5" xfId="6858"/>
    <cellStyle name="Normal 5 4 4 2 3" xfId="3744"/>
    <cellStyle name="Normal 5 4 4 2 3 2" xfId="4711"/>
    <cellStyle name="Normal 5 4 4 2 3 2 2" xfId="6386"/>
    <cellStyle name="Normal 5 4 4 2 3 2 2 2" xfId="9736"/>
    <cellStyle name="Normal 5 4 4 2 3 2 3" xfId="11411"/>
    <cellStyle name="Normal 5 4 4 2 3 2 4" xfId="8061"/>
    <cellStyle name="Normal 5 4 4 2 3 3" xfId="5419"/>
    <cellStyle name="Normal 5 4 4 2 3 3 2" xfId="8769"/>
    <cellStyle name="Normal 5 4 4 2 3 4" xfId="10444"/>
    <cellStyle name="Normal 5 4 4 2 3 5" xfId="7094"/>
    <cellStyle name="Normal 5 4 4 2 4" xfId="3980"/>
    <cellStyle name="Normal 5 4 4 2 4 2" xfId="5655"/>
    <cellStyle name="Normal 5 4 4 2 4 2 2" xfId="9005"/>
    <cellStyle name="Normal 5 4 4 2 4 3" xfId="10680"/>
    <cellStyle name="Normal 5 4 4 2 4 4" xfId="7330"/>
    <cellStyle name="Normal 5 4 4 2 5" xfId="4239"/>
    <cellStyle name="Normal 5 4 4 2 5 2" xfId="5914"/>
    <cellStyle name="Normal 5 4 4 2 5 2 2" xfId="9264"/>
    <cellStyle name="Normal 5 4 4 2 5 3" xfId="10939"/>
    <cellStyle name="Normal 5 4 4 2 5 4" xfId="7589"/>
    <cellStyle name="Normal 5 4 4 2 6" xfId="4947"/>
    <cellStyle name="Normal 5 4 4 2 6 2" xfId="8297"/>
    <cellStyle name="Normal 5 4 4 2 7" xfId="9972"/>
    <cellStyle name="Normal 5 4 4 2 8" xfId="6622"/>
    <cellStyle name="Normal 5 4 4 3" xfId="3391"/>
    <cellStyle name="Normal 5 4 4 3 2" xfId="4357"/>
    <cellStyle name="Normal 5 4 4 3 2 2" xfId="6032"/>
    <cellStyle name="Normal 5 4 4 3 2 2 2" xfId="9382"/>
    <cellStyle name="Normal 5 4 4 3 2 3" xfId="11057"/>
    <cellStyle name="Normal 5 4 4 3 2 4" xfId="7707"/>
    <cellStyle name="Normal 5 4 4 3 3" xfId="5065"/>
    <cellStyle name="Normal 5 4 4 3 3 2" xfId="8415"/>
    <cellStyle name="Normal 5 4 4 3 4" xfId="10090"/>
    <cellStyle name="Normal 5 4 4 3 5" xfId="6740"/>
    <cellStyle name="Normal 5 4 4 4" xfId="3626"/>
    <cellStyle name="Normal 5 4 4 4 2" xfId="4593"/>
    <cellStyle name="Normal 5 4 4 4 2 2" xfId="6268"/>
    <cellStyle name="Normal 5 4 4 4 2 2 2" xfId="9618"/>
    <cellStyle name="Normal 5 4 4 4 2 3" xfId="11293"/>
    <cellStyle name="Normal 5 4 4 4 2 4" xfId="7943"/>
    <cellStyle name="Normal 5 4 4 4 3" xfId="5301"/>
    <cellStyle name="Normal 5 4 4 4 3 2" xfId="8651"/>
    <cellStyle name="Normal 5 4 4 4 4" xfId="10326"/>
    <cellStyle name="Normal 5 4 4 4 5" xfId="6976"/>
    <cellStyle name="Normal 5 4 4 5" xfId="3862"/>
    <cellStyle name="Normal 5 4 4 5 2" xfId="5537"/>
    <cellStyle name="Normal 5 4 4 5 2 2" xfId="8887"/>
    <cellStyle name="Normal 5 4 4 5 3" xfId="10562"/>
    <cellStyle name="Normal 5 4 4 5 4" xfId="7212"/>
    <cellStyle name="Normal 5 4 4 6" xfId="4121"/>
    <cellStyle name="Normal 5 4 4 6 2" xfId="5796"/>
    <cellStyle name="Normal 5 4 4 6 2 2" xfId="9146"/>
    <cellStyle name="Normal 5 4 4 6 3" xfId="10821"/>
    <cellStyle name="Normal 5 4 4 6 4" xfId="7471"/>
    <cellStyle name="Normal 5 4 4 7" xfId="4829"/>
    <cellStyle name="Normal 5 4 4 7 2" xfId="8179"/>
    <cellStyle name="Normal 5 4 4 8" xfId="9854"/>
    <cellStyle name="Normal 5 4 4 9" xfId="6504"/>
    <cellStyle name="Normal 5 4 5" xfId="3179"/>
    <cellStyle name="Normal 5 4 5 2" xfId="3297"/>
    <cellStyle name="Normal 5 4 5 2 2" xfId="3533"/>
    <cellStyle name="Normal 5 4 5 2 2 2" xfId="4499"/>
    <cellStyle name="Normal 5 4 5 2 2 2 2" xfId="6174"/>
    <cellStyle name="Normal 5 4 5 2 2 2 2 2" xfId="9524"/>
    <cellStyle name="Normal 5 4 5 2 2 2 3" xfId="11199"/>
    <cellStyle name="Normal 5 4 5 2 2 2 4" xfId="7849"/>
    <cellStyle name="Normal 5 4 5 2 2 3" xfId="5207"/>
    <cellStyle name="Normal 5 4 5 2 2 3 2" xfId="8557"/>
    <cellStyle name="Normal 5 4 5 2 2 4" xfId="10232"/>
    <cellStyle name="Normal 5 4 5 2 2 5" xfId="6882"/>
    <cellStyle name="Normal 5 4 5 2 3" xfId="3768"/>
    <cellStyle name="Normal 5 4 5 2 3 2" xfId="4735"/>
    <cellStyle name="Normal 5 4 5 2 3 2 2" xfId="6410"/>
    <cellStyle name="Normal 5 4 5 2 3 2 2 2" xfId="9760"/>
    <cellStyle name="Normal 5 4 5 2 3 2 3" xfId="11435"/>
    <cellStyle name="Normal 5 4 5 2 3 2 4" xfId="8085"/>
    <cellStyle name="Normal 5 4 5 2 3 3" xfId="5443"/>
    <cellStyle name="Normal 5 4 5 2 3 3 2" xfId="8793"/>
    <cellStyle name="Normal 5 4 5 2 3 4" xfId="10468"/>
    <cellStyle name="Normal 5 4 5 2 3 5" xfId="7118"/>
    <cellStyle name="Normal 5 4 5 2 4" xfId="4004"/>
    <cellStyle name="Normal 5 4 5 2 4 2" xfId="5679"/>
    <cellStyle name="Normal 5 4 5 2 4 2 2" xfId="9029"/>
    <cellStyle name="Normal 5 4 5 2 4 3" xfId="10704"/>
    <cellStyle name="Normal 5 4 5 2 4 4" xfId="7354"/>
    <cellStyle name="Normal 5 4 5 2 5" xfId="4263"/>
    <cellStyle name="Normal 5 4 5 2 5 2" xfId="5938"/>
    <cellStyle name="Normal 5 4 5 2 5 2 2" xfId="9288"/>
    <cellStyle name="Normal 5 4 5 2 5 3" xfId="10963"/>
    <cellStyle name="Normal 5 4 5 2 5 4" xfId="7613"/>
    <cellStyle name="Normal 5 4 5 2 6" xfId="4971"/>
    <cellStyle name="Normal 5 4 5 2 6 2" xfId="8321"/>
    <cellStyle name="Normal 5 4 5 2 7" xfId="9996"/>
    <cellStyle name="Normal 5 4 5 2 8" xfId="6646"/>
    <cellStyle name="Normal 5 4 5 3" xfId="3415"/>
    <cellStyle name="Normal 5 4 5 3 2" xfId="4381"/>
    <cellStyle name="Normal 5 4 5 3 2 2" xfId="6056"/>
    <cellStyle name="Normal 5 4 5 3 2 2 2" xfId="9406"/>
    <cellStyle name="Normal 5 4 5 3 2 3" xfId="11081"/>
    <cellStyle name="Normal 5 4 5 3 2 4" xfId="7731"/>
    <cellStyle name="Normal 5 4 5 3 3" xfId="5089"/>
    <cellStyle name="Normal 5 4 5 3 3 2" xfId="8439"/>
    <cellStyle name="Normal 5 4 5 3 4" xfId="10114"/>
    <cellStyle name="Normal 5 4 5 3 5" xfId="6764"/>
    <cellStyle name="Normal 5 4 5 4" xfId="3650"/>
    <cellStyle name="Normal 5 4 5 4 2" xfId="4617"/>
    <cellStyle name="Normal 5 4 5 4 2 2" xfId="6292"/>
    <cellStyle name="Normal 5 4 5 4 2 2 2" xfId="9642"/>
    <cellStyle name="Normal 5 4 5 4 2 3" xfId="11317"/>
    <cellStyle name="Normal 5 4 5 4 2 4" xfId="7967"/>
    <cellStyle name="Normal 5 4 5 4 3" xfId="5325"/>
    <cellStyle name="Normal 5 4 5 4 3 2" xfId="8675"/>
    <cellStyle name="Normal 5 4 5 4 4" xfId="10350"/>
    <cellStyle name="Normal 5 4 5 4 5" xfId="7000"/>
    <cellStyle name="Normal 5 4 5 5" xfId="3886"/>
    <cellStyle name="Normal 5 4 5 5 2" xfId="5561"/>
    <cellStyle name="Normal 5 4 5 5 2 2" xfId="8911"/>
    <cellStyle name="Normal 5 4 5 5 3" xfId="10586"/>
    <cellStyle name="Normal 5 4 5 5 4" xfId="7236"/>
    <cellStyle name="Normal 5 4 5 6" xfId="4145"/>
    <cellStyle name="Normal 5 4 5 6 2" xfId="5820"/>
    <cellStyle name="Normal 5 4 5 6 2 2" xfId="9170"/>
    <cellStyle name="Normal 5 4 5 6 3" xfId="10845"/>
    <cellStyle name="Normal 5 4 5 6 4" xfId="7495"/>
    <cellStyle name="Normal 5 4 5 7" xfId="4853"/>
    <cellStyle name="Normal 5 4 5 7 2" xfId="8203"/>
    <cellStyle name="Normal 5 4 5 8" xfId="9878"/>
    <cellStyle name="Normal 5 4 5 9" xfId="6528"/>
    <cellStyle name="Normal 5 4 6" xfId="3203"/>
    <cellStyle name="Normal 5 4 6 2" xfId="3439"/>
    <cellStyle name="Normal 5 4 6 2 2" xfId="4405"/>
    <cellStyle name="Normal 5 4 6 2 2 2" xfId="6080"/>
    <cellStyle name="Normal 5 4 6 2 2 2 2" xfId="9430"/>
    <cellStyle name="Normal 5 4 6 2 2 3" xfId="11105"/>
    <cellStyle name="Normal 5 4 6 2 2 4" xfId="7755"/>
    <cellStyle name="Normal 5 4 6 2 3" xfId="5113"/>
    <cellStyle name="Normal 5 4 6 2 3 2" xfId="8463"/>
    <cellStyle name="Normal 5 4 6 2 4" xfId="10138"/>
    <cellStyle name="Normal 5 4 6 2 5" xfId="6788"/>
    <cellStyle name="Normal 5 4 6 3" xfId="3674"/>
    <cellStyle name="Normal 5 4 6 3 2" xfId="4641"/>
    <cellStyle name="Normal 5 4 6 3 2 2" xfId="6316"/>
    <cellStyle name="Normal 5 4 6 3 2 2 2" xfId="9666"/>
    <cellStyle name="Normal 5 4 6 3 2 3" xfId="11341"/>
    <cellStyle name="Normal 5 4 6 3 2 4" xfId="7991"/>
    <cellStyle name="Normal 5 4 6 3 3" xfId="5349"/>
    <cellStyle name="Normal 5 4 6 3 3 2" xfId="8699"/>
    <cellStyle name="Normal 5 4 6 3 4" xfId="10374"/>
    <cellStyle name="Normal 5 4 6 3 5" xfId="7024"/>
    <cellStyle name="Normal 5 4 6 4" xfId="3910"/>
    <cellStyle name="Normal 5 4 6 4 2" xfId="5585"/>
    <cellStyle name="Normal 5 4 6 4 2 2" xfId="8935"/>
    <cellStyle name="Normal 5 4 6 4 3" xfId="10610"/>
    <cellStyle name="Normal 5 4 6 4 4" xfId="7260"/>
    <cellStyle name="Normal 5 4 6 5" xfId="4169"/>
    <cellStyle name="Normal 5 4 6 5 2" xfId="5844"/>
    <cellStyle name="Normal 5 4 6 5 2 2" xfId="9194"/>
    <cellStyle name="Normal 5 4 6 5 3" xfId="10869"/>
    <cellStyle name="Normal 5 4 6 5 4" xfId="7519"/>
    <cellStyle name="Normal 5 4 6 6" xfId="4877"/>
    <cellStyle name="Normal 5 4 6 6 2" xfId="8227"/>
    <cellStyle name="Normal 5 4 6 7" xfId="9902"/>
    <cellStyle name="Normal 5 4 6 8" xfId="6552"/>
    <cellStyle name="Normal 5 4 7" xfId="3321"/>
    <cellStyle name="Normal 5 4 7 2" xfId="4287"/>
    <cellStyle name="Normal 5 4 7 2 2" xfId="5962"/>
    <cellStyle name="Normal 5 4 7 2 2 2" xfId="9312"/>
    <cellStyle name="Normal 5 4 7 2 3" xfId="10987"/>
    <cellStyle name="Normal 5 4 7 2 4" xfId="7637"/>
    <cellStyle name="Normal 5 4 7 3" xfId="4995"/>
    <cellStyle name="Normal 5 4 7 3 2" xfId="8345"/>
    <cellStyle name="Normal 5 4 7 4" xfId="10020"/>
    <cellStyle name="Normal 5 4 7 5" xfId="6670"/>
    <cellStyle name="Normal 5 4 8" xfId="3556"/>
    <cellStyle name="Normal 5 4 8 2" xfId="4523"/>
    <cellStyle name="Normal 5 4 8 2 2" xfId="6198"/>
    <cellStyle name="Normal 5 4 8 2 2 2" xfId="9548"/>
    <cellStyle name="Normal 5 4 8 2 3" xfId="11223"/>
    <cellStyle name="Normal 5 4 8 2 4" xfId="7873"/>
    <cellStyle name="Normal 5 4 8 3" xfId="5231"/>
    <cellStyle name="Normal 5 4 8 3 2" xfId="8581"/>
    <cellStyle name="Normal 5 4 8 4" xfId="10256"/>
    <cellStyle name="Normal 5 4 8 5" xfId="6906"/>
    <cellStyle name="Normal 5 4 9" xfId="3792"/>
    <cellStyle name="Normal 5 4 9 2" xfId="4051"/>
    <cellStyle name="Normal 5 4 9 2 2" xfId="5726"/>
    <cellStyle name="Normal 5 4 9 2 2 2" xfId="9076"/>
    <cellStyle name="Normal 5 4 9 2 3" xfId="10751"/>
    <cellStyle name="Normal 5 4 9 2 4" xfId="7401"/>
    <cellStyle name="Normal 5 4 9 3" xfId="5467"/>
    <cellStyle name="Normal 5 4 9 3 2" xfId="8817"/>
    <cellStyle name="Normal 5 4 9 4" xfId="10492"/>
    <cellStyle name="Normal 5 4 9 5" xfId="7142"/>
    <cellStyle name="Normal 5 5" xfId="2147"/>
    <cellStyle name="Normal 5 6" xfId="2746"/>
    <cellStyle name="Normal 5 7" xfId="2862"/>
    <cellStyle name="Normal 5 7 2" xfId="12106"/>
    <cellStyle name="Normal 5 8" xfId="12227"/>
    <cellStyle name="Normal 6" xfId="230"/>
    <cellStyle name="Normal 6 2" xfId="280"/>
    <cellStyle name="Normal 6 2 2" xfId="2151"/>
    <cellStyle name="Normal 6 2 2 3" xfId="34"/>
    <cellStyle name="Normal 6 2 3" xfId="2152"/>
    <cellStyle name="Normal 6 2 3 2" xfId="2663"/>
    <cellStyle name="Normal 6 2 3 2 2" xfId="2853"/>
    <cellStyle name="Normal 6 2 3 3" xfId="2811"/>
    <cellStyle name="Normal 6 3" xfId="2153"/>
    <cellStyle name="Normal 6 3 2" xfId="2154"/>
    <cellStyle name="Normal 6 3 3" xfId="2155"/>
    <cellStyle name="Normal 6 4" xfId="2156"/>
    <cellStyle name="Normal 6 4 2" xfId="2664"/>
    <cellStyle name="Normal 6 4 2 2" xfId="2854"/>
    <cellStyle name="Normal 6 4 3" xfId="2812"/>
    <cellStyle name="Normal 6 5" xfId="2157"/>
    <cellStyle name="Normal 6 5 10" xfId="4029"/>
    <cellStyle name="Normal 6 5 10 2" xfId="5704"/>
    <cellStyle name="Normal 6 5 10 2 2" xfId="9054"/>
    <cellStyle name="Normal 6 5 10 3" xfId="10729"/>
    <cellStyle name="Normal 6 5 10 4" xfId="7379"/>
    <cellStyle name="Normal 6 5 11" xfId="4760"/>
    <cellStyle name="Normal 6 5 11 2" xfId="8110"/>
    <cellStyle name="Normal 6 5 12" xfId="9785"/>
    <cellStyle name="Normal 6 5 13" xfId="6435"/>
    <cellStyle name="Normal 6 5 14" xfId="12242"/>
    <cellStyle name="Normal 6 5 2" xfId="3110"/>
    <cellStyle name="Normal 6 5 2 2" xfId="3227"/>
    <cellStyle name="Normal 6 5 2 2 2" xfId="3463"/>
    <cellStyle name="Normal 6 5 2 2 2 2" xfId="4429"/>
    <cellStyle name="Normal 6 5 2 2 2 2 2" xfId="6104"/>
    <cellStyle name="Normal 6 5 2 2 2 2 2 2" xfId="9454"/>
    <cellStyle name="Normal 6 5 2 2 2 2 3" xfId="11129"/>
    <cellStyle name="Normal 6 5 2 2 2 2 4" xfId="7779"/>
    <cellStyle name="Normal 6 5 2 2 2 3" xfId="5137"/>
    <cellStyle name="Normal 6 5 2 2 2 3 2" xfId="8487"/>
    <cellStyle name="Normal 6 5 2 2 2 4" xfId="10162"/>
    <cellStyle name="Normal 6 5 2 2 2 5" xfId="6812"/>
    <cellStyle name="Normal 6 5 2 2 3" xfId="3698"/>
    <cellStyle name="Normal 6 5 2 2 3 2" xfId="4665"/>
    <cellStyle name="Normal 6 5 2 2 3 2 2" xfId="6340"/>
    <cellStyle name="Normal 6 5 2 2 3 2 2 2" xfId="9690"/>
    <cellStyle name="Normal 6 5 2 2 3 2 3" xfId="11365"/>
    <cellStyle name="Normal 6 5 2 2 3 2 4" xfId="8015"/>
    <cellStyle name="Normal 6 5 2 2 3 3" xfId="5373"/>
    <cellStyle name="Normal 6 5 2 2 3 3 2" xfId="8723"/>
    <cellStyle name="Normal 6 5 2 2 3 4" xfId="10398"/>
    <cellStyle name="Normal 6 5 2 2 3 5" xfId="7048"/>
    <cellStyle name="Normal 6 5 2 2 4" xfId="3934"/>
    <cellStyle name="Normal 6 5 2 2 4 2" xfId="5609"/>
    <cellStyle name="Normal 6 5 2 2 4 2 2" xfId="8959"/>
    <cellStyle name="Normal 6 5 2 2 4 3" xfId="10634"/>
    <cellStyle name="Normal 6 5 2 2 4 4" xfId="7284"/>
    <cellStyle name="Normal 6 5 2 2 5" xfId="4193"/>
    <cellStyle name="Normal 6 5 2 2 5 2" xfId="5868"/>
    <cellStyle name="Normal 6 5 2 2 5 2 2" xfId="9218"/>
    <cellStyle name="Normal 6 5 2 2 5 3" xfId="10893"/>
    <cellStyle name="Normal 6 5 2 2 5 4" xfId="7543"/>
    <cellStyle name="Normal 6 5 2 2 6" xfId="4901"/>
    <cellStyle name="Normal 6 5 2 2 6 2" xfId="8251"/>
    <cellStyle name="Normal 6 5 2 2 7" xfId="9926"/>
    <cellStyle name="Normal 6 5 2 2 8" xfId="6576"/>
    <cellStyle name="Normal 6 5 2 3" xfId="3345"/>
    <cellStyle name="Normal 6 5 2 3 2" xfId="4311"/>
    <cellStyle name="Normal 6 5 2 3 2 2" xfId="5986"/>
    <cellStyle name="Normal 6 5 2 3 2 2 2" xfId="9336"/>
    <cellStyle name="Normal 6 5 2 3 2 3" xfId="11011"/>
    <cellStyle name="Normal 6 5 2 3 2 4" xfId="7661"/>
    <cellStyle name="Normal 6 5 2 3 3" xfId="5019"/>
    <cellStyle name="Normal 6 5 2 3 3 2" xfId="8369"/>
    <cellStyle name="Normal 6 5 2 3 4" xfId="10044"/>
    <cellStyle name="Normal 6 5 2 3 5" xfId="6694"/>
    <cellStyle name="Normal 6 5 2 4" xfId="3580"/>
    <cellStyle name="Normal 6 5 2 4 2" xfId="4547"/>
    <cellStyle name="Normal 6 5 2 4 2 2" xfId="6222"/>
    <cellStyle name="Normal 6 5 2 4 2 2 2" xfId="9572"/>
    <cellStyle name="Normal 6 5 2 4 2 3" xfId="11247"/>
    <cellStyle name="Normal 6 5 2 4 2 4" xfId="7897"/>
    <cellStyle name="Normal 6 5 2 4 3" xfId="5255"/>
    <cellStyle name="Normal 6 5 2 4 3 2" xfId="8605"/>
    <cellStyle name="Normal 6 5 2 4 4" xfId="10280"/>
    <cellStyle name="Normal 6 5 2 4 5" xfId="6930"/>
    <cellStyle name="Normal 6 5 2 5" xfId="3816"/>
    <cellStyle name="Normal 6 5 2 5 2" xfId="5491"/>
    <cellStyle name="Normal 6 5 2 5 2 2" xfId="8841"/>
    <cellStyle name="Normal 6 5 2 5 3" xfId="10516"/>
    <cellStyle name="Normal 6 5 2 5 4" xfId="7166"/>
    <cellStyle name="Normal 6 5 2 6" xfId="4075"/>
    <cellStyle name="Normal 6 5 2 6 2" xfId="5750"/>
    <cellStyle name="Normal 6 5 2 6 2 2" xfId="9100"/>
    <cellStyle name="Normal 6 5 2 6 3" xfId="10775"/>
    <cellStyle name="Normal 6 5 2 6 4" xfId="7425"/>
    <cellStyle name="Normal 6 5 2 7" xfId="4783"/>
    <cellStyle name="Normal 6 5 2 7 2" xfId="8133"/>
    <cellStyle name="Normal 6 5 2 8" xfId="9808"/>
    <cellStyle name="Normal 6 5 2 9" xfId="6458"/>
    <cellStyle name="Normal 6 5 3" xfId="3133"/>
    <cellStyle name="Normal 6 5 3 2" xfId="3250"/>
    <cellStyle name="Normal 6 5 3 2 2" xfId="3486"/>
    <cellStyle name="Normal 6 5 3 2 2 2" xfId="4452"/>
    <cellStyle name="Normal 6 5 3 2 2 2 2" xfId="6127"/>
    <cellStyle name="Normal 6 5 3 2 2 2 2 2" xfId="9477"/>
    <cellStyle name="Normal 6 5 3 2 2 2 3" xfId="11152"/>
    <cellStyle name="Normal 6 5 3 2 2 2 4" xfId="7802"/>
    <cellStyle name="Normal 6 5 3 2 2 3" xfId="5160"/>
    <cellStyle name="Normal 6 5 3 2 2 3 2" xfId="8510"/>
    <cellStyle name="Normal 6 5 3 2 2 4" xfId="10185"/>
    <cellStyle name="Normal 6 5 3 2 2 5" xfId="6835"/>
    <cellStyle name="Normal 6 5 3 2 3" xfId="3721"/>
    <cellStyle name="Normal 6 5 3 2 3 2" xfId="4688"/>
    <cellStyle name="Normal 6 5 3 2 3 2 2" xfId="6363"/>
    <cellStyle name="Normal 6 5 3 2 3 2 2 2" xfId="9713"/>
    <cellStyle name="Normal 6 5 3 2 3 2 3" xfId="11388"/>
    <cellStyle name="Normal 6 5 3 2 3 2 4" xfId="8038"/>
    <cellStyle name="Normal 6 5 3 2 3 3" xfId="5396"/>
    <cellStyle name="Normal 6 5 3 2 3 3 2" xfId="8746"/>
    <cellStyle name="Normal 6 5 3 2 3 4" xfId="10421"/>
    <cellStyle name="Normal 6 5 3 2 3 5" xfId="7071"/>
    <cellStyle name="Normal 6 5 3 2 4" xfId="3957"/>
    <cellStyle name="Normal 6 5 3 2 4 2" xfId="5632"/>
    <cellStyle name="Normal 6 5 3 2 4 2 2" xfId="8982"/>
    <cellStyle name="Normal 6 5 3 2 4 3" xfId="10657"/>
    <cellStyle name="Normal 6 5 3 2 4 4" xfId="7307"/>
    <cellStyle name="Normal 6 5 3 2 5" xfId="4216"/>
    <cellStyle name="Normal 6 5 3 2 5 2" xfId="5891"/>
    <cellStyle name="Normal 6 5 3 2 5 2 2" xfId="9241"/>
    <cellStyle name="Normal 6 5 3 2 5 3" xfId="10916"/>
    <cellStyle name="Normal 6 5 3 2 5 4" xfId="7566"/>
    <cellStyle name="Normal 6 5 3 2 6" xfId="4924"/>
    <cellStyle name="Normal 6 5 3 2 6 2" xfId="8274"/>
    <cellStyle name="Normal 6 5 3 2 7" xfId="9949"/>
    <cellStyle name="Normal 6 5 3 2 8" xfId="6599"/>
    <cellStyle name="Normal 6 5 3 3" xfId="3368"/>
    <cellStyle name="Normal 6 5 3 3 2" xfId="4334"/>
    <cellStyle name="Normal 6 5 3 3 2 2" xfId="6009"/>
    <cellStyle name="Normal 6 5 3 3 2 2 2" xfId="9359"/>
    <cellStyle name="Normal 6 5 3 3 2 3" xfId="11034"/>
    <cellStyle name="Normal 6 5 3 3 2 4" xfId="7684"/>
    <cellStyle name="Normal 6 5 3 3 3" xfId="5042"/>
    <cellStyle name="Normal 6 5 3 3 3 2" xfId="8392"/>
    <cellStyle name="Normal 6 5 3 3 4" xfId="10067"/>
    <cellStyle name="Normal 6 5 3 3 5" xfId="6717"/>
    <cellStyle name="Normal 6 5 3 4" xfId="3603"/>
    <cellStyle name="Normal 6 5 3 4 2" xfId="4570"/>
    <cellStyle name="Normal 6 5 3 4 2 2" xfId="6245"/>
    <cellStyle name="Normal 6 5 3 4 2 2 2" xfId="9595"/>
    <cellStyle name="Normal 6 5 3 4 2 3" xfId="11270"/>
    <cellStyle name="Normal 6 5 3 4 2 4" xfId="7920"/>
    <cellStyle name="Normal 6 5 3 4 3" xfId="5278"/>
    <cellStyle name="Normal 6 5 3 4 3 2" xfId="8628"/>
    <cellStyle name="Normal 6 5 3 4 4" xfId="10303"/>
    <cellStyle name="Normal 6 5 3 4 5" xfId="6953"/>
    <cellStyle name="Normal 6 5 3 5" xfId="3839"/>
    <cellStyle name="Normal 6 5 3 5 2" xfId="5514"/>
    <cellStyle name="Normal 6 5 3 5 2 2" xfId="8864"/>
    <cellStyle name="Normal 6 5 3 5 3" xfId="10539"/>
    <cellStyle name="Normal 6 5 3 5 4" xfId="7189"/>
    <cellStyle name="Normal 6 5 3 6" xfId="4098"/>
    <cellStyle name="Normal 6 5 3 6 2" xfId="5773"/>
    <cellStyle name="Normal 6 5 3 6 2 2" xfId="9123"/>
    <cellStyle name="Normal 6 5 3 6 3" xfId="10798"/>
    <cellStyle name="Normal 6 5 3 6 4" xfId="7448"/>
    <cellStyle name="Normal 6 5 3 7" xfId="4806"/>
    <cellStyle name="Normal 6 5 3 7 2" xfId="8156"/>
    <cellStyle name="Normal 6 5 3 8" xfId="9831"/>
    <cellStyle name="Normal 6 5 3 9" xfId="6481"/>
    <cellStyle name="Normal 6 5 4" xfId="3156"/>
    <cellStyle name="Normal 6 5 4 2" xfId="3274"/>
    <cellStyle name="Normal 6 5 4 2 2" xfId="3510"/>
    <cellStyle name="Normal 6 5 4 2 2 2" xfId="4476"/>
    <cellStyle name="Normal 6 5 4 2 2 2 2" xfId="6151"/>
    <cellStyle name="Normal 6 5 4 2 2 2 2 2" xfId="9501"/>
    <cellStyle name="Normal 6 5 4 2 2 2 3" xfId="11176"/>
    <cellStyle name="Normal 6 5 4 2 2 2 4" xfId="7826"/>
    <cellStyle name="Normal 6 5 4 2 2 3" xfId="5184"/>
    <cellStyle name="Normal 6 5 4 2 2 3 2" xfId="8534"/>
    <cellStyle name="Normal 6 5 4 2 2 4" xfId="10209"/>
    <cellStyle name="Normal 6 5 4 2 2 5" xfId="6859"/>
    <cellStyle name="Normal 6 5 4 2 3" xfId="3745"/>
    <cellStyle name="Normal 6 5 4 2 3 2" xfId="4712"/>
    <cellStyle name="Normal 6 5 4 2 3 2 2" xfId="6387"/>
    <cellStyle name="Normal 6 5 4 2 3 2 2 2" xfId="9737"/>
    <cellStyle name="Normal 6 5 4 2 3 2 3" xfId="11412"/>
    <cellStyle name="Normal 6 5 4 2 3 2 4" xfId="8062"/>
    <cellStyle name="Normal 6 5 4 2 3 3" xfId="5420"/>
    <cellStyle name="Normal 6 5 4 2 3 3 2" xfId="8770"/>
    <cellStyle name="Normal 6 5 4 2 3 4" xfId="10445"/>
    <cellStyle name="Normal 6 5 4 2 3 5" xfId="7095"/>
    <cellStyle name="Normal 6 5 4 2 4" xfId="3981"/>
    <cellStyle name="Normal 6 5 4 2 4 2" xfId="5656"/>
    <cellStyle name="Normal 6 5 4 2 4 2 2" xfId="9006"/>
    <cellStyle name="Normal 6 5 4 2 4 3" xfId="10681"/>
    <cellStyle name="Normal 6 5 4 2 4 4" xfId="7331"/>
    <cellStyle name="Normal 6 5 4 2 5" xfId="4240"/>
    <cellStyle name="Normal 6 5 4 2 5 2" xfId="5915"/>
    <cellStyle name="Normal 6 5 4 2 5 2 2" xfId="9265"/>
    <cellStyle name="Normal 6 5 4 2 5 3" xfId="10940"/>
    <cellStyle name="Normal 6 5 4 2 5 4" xfId="7590"/>
    <cellStyle name="Normal 6 5 4 2 6" xfId="4948"/>
    <cellStyle name="Normal 6 5 4 2 6 2" xfId="8298"/>
    <cellStyle name="Normal 6 5 4 2 7" xfId="9973"/>
    <cellStyle name="Normal 6 5 4 2 8" xfId="6623"/>
    <cellStyle name="Normal 6 5 4 3" xfId="3392"/>
    <cellStyle name="Normal 6 5 4 3 2" xfId="4358"/>
    <cellStyle name="Normal 6 5 4 3 2 2" xfId="6033"/>
    <cellStyle name="Normal 6 5 4 3 2 2 2" xfId="9383"/>
    <cellStyle name="Normal 6 5 4 3 2 3" xfId="11058"/>
    <cellStyle name="Normal 6 5 4 3 2 4" xfId="7708"/>
    <cellStyle name="Normal 6 5 4 3 3" xfId="5066"/>
    <cellStyle name="Normal 6 5 4 3 3 2" xfId="8416"/>
    <cellStyle name="Normal 6 5 4 3 4" xfId="10091"/>
    <cellStyle name="Normal 6 5 4 3 5" xfId="6741"/>
    <cellStyle name="Normal 6 5 4 4" xfId="3627"/>
    <cellStyle name="Normal 6 5 4 4 2" xfId="4594"/>
    <cellStyle name="Normal 6 5 4 4 2 2" xfId="6269"/>
    <cellStyle name="Normal 6 5 4 4 2 2 2" xfId="9619"/>
    <cellStyle name="Normal 6 5 4 4 2 3" xfId="11294"/>
    <cellStyle name="Normal 6 5 4 4 2 4" xfId="7944"/>
    <cellStyle name="Normal 6 5 4 4 3" xfId="5302"/>
    <cellStyle name="Normal 6 5 4 4 3 2" xfId="8652"/>
    <cellStyle name="Normal 6 5 4 4 4" xfId="10327"/>
    <cellStyle name="Normal 6 5 4 4 5" xfId="6977"/>
    <cellStyle name="Normal 6 5 4 5" xfId="3863"/>
    <cellStyle name="Normal 6 5 4 5 2" xfId="5538"/>
    <cellStyle name="Normal 6 5 4 5 2 2" xfId="8888"/>
    <cellStyle name="Normal 6 5 4 5 3" xfId="10563"/>
    <cellStyle name="Normal 6 5 4 5 4" xfId="7213"/>
    <cellStyle name="Normal 6 5 4 6" xfId="4122"/>
    <cellStyle name="Normal 6 5 4 6 2" xfId="5797"/>
    <cellStyle name="Normal 6 5 4 6 2 2" xfId="9147"/>
    <cellStyle name="Normal 6 5 4 6 3" xfId="10822"/>
    <cellStyle name="Normal 6 5 4 6 4" xfId="7472"/>
    <cellStyle name="Normal 6 5 4 7" xfId="4830"/>
    <cellStyle name="Normal 6 5 4 7 2" xfId="8180"/>
    <cellStyle name="Normal 6 5 4 8" xfId="9855"/>
    <cellStyle name="Normal 6 5 4 9" xfId="6505"/>
    <cellStyle name="Normal 6 5 5" xfId="3180"/>
    <cellStyle name="Normal 6 5 5 2" xfId="3298"/>
    <cellStyle name="Normal 6 5 5 2 2" xfId="3534"/>
    <cellStyle name="Normal 6 5 5 2 2 2" xfId="4500"/>
    <cellStyle name="Normal 6 5 5 2 2 2 2" xfId="6175"/>
    <cellStyle name="Normal 6 5 5 2 2 2 2 2" xfId="9525"/>
    <cellStyle name="Normal 6 5 5 2 2 2 3" xfId="11200"/>
    <cellStyle name="Normal 6 5 5 2 2 2 4" xfId="7850"/>
    <cellStyle name="Normal 6 5 5 2 2 3" xfId="5208"/>
    <cellStyle name="Normal 6 5 5 2 2 3 2" xfId="8558"/>
    <cellStyle name="Normal 6 5 5 2 2 4" xfId="10233"/>
    <cellStyle name="Normal 6 5 5 2 2 5" xfId="6883"/>
    <cellStyle name="Normal 6 5 5 2 3" xfId="3769"/>
    <cellStyle name="Normal 6 5 5 2 3 2" xfId="4736"/>
    <cellStyle name="Normal 6 5 5 2 3 2 2" xfId="6411"/>
    <cellStyle name="Normal 6 5 5 2 3 2 2 2" xfId="9761"/>
    <cellStyle name="Normal 6 5 5 2 3 2 3" xfId="11436"/>
    <cellStyle name="Normal 6 5 5 2 3 2 4" xfId="8086"/>
    <cellStyle name="Normal 6 5 5 2 3 3" xfId="5444"/>
    <cellStyle name="Normal 6 5 5 2 3 3 2" xfId="8794"/>
    <cellStyle name="Normal 6 5 5 2 3 4" xfId="10469"/>
    <cellStyle name="Normal 6 5 5 2 3 5" xfId="7119"/>
    <cellStyle name="Normal 6 5 5 2 4" xfId="4005"/>
    <cellStyle name="Normal 6 5 5 2 4 2" xfId="5680"/>
    <cellStyle name="Normal 6 5 5 2 4 2 2" xfId="9030"/>
    <cellStyle name="Normal 6 5 5 2 4 3" xfId="10705"/>
    <cellStyle name="Normal 6 5 5 2 4 4" xfId="7355"/>
    <cellStyle name="Normal 6 5 5 2 5" xfId="4264"/>
    <cellStyle name="Normal 6 5 5 2 5 2" xfId="5939"/>
    <cellStyle name="Normal 6 5 5 2 5 2 2" xfId="9289"/>
    <cellStyle name="Normal 6 5 5 2 5 3" xfId="10964"/>
    <cellStyle name="Normal 6 5 5 2 5 4" xfId="7614"/>
    <cellStyle name="Normal 6 5 5 2 6" xfId="4972"/>
    <cellStyle name="Normal 6 5 5 2 6 2" xfId="8322"/>
    <cellStyle name="Normal 6 5 5 2 7" xfId="9997"/>
    <cellStyle name="Normal 6 5 5 2 8" xfId="6647"/>
    <cellStyle name="Normal 6 5 5 3" xfId="3416"/>
    <cellStyle name="Normal 6 5 5 3 2" xfId="4382"/>
    <cellStyle name="Normal 6 5 5 3 2 2" xfId="6057"/>
    <cellStyle name="Normal 6 5 5 3 2 2 2" xfId="9407"/>
    <cellStyle name="Normal 6 5 5 3 2 3" xfId="11082"/>
    <cellStyle name="Normal 6 5 5 3 2 4" xfId="7732"/>
    <cellStyle name="Normal 6 5 5 3 3" xfId="5090"/>
    <cellStyle name="Normal 6 5 5 3 3 2" xfId="8440"/>
    <cellStyle name="Normal 6 5 5 3 4" xfId="10115"/>
    <cellStyle name="Normal 6 5 5 3 5" xfId="6765"/>
    <cellStyle name="Normal 6 5 5 4" xfId="3651"/>
    <cellStyle name="Normal 6 5 5 4 2" xfId="4618"/>
    <cellStyle name="Normal 6 5 5 4 2 2" xfId="6293"/>
    <cellStyle name="Normal 6 5 5 4 2 2 2" xfId="9643"/>
    <cellStyle name="Normal 6 5 5 4 2 3" xfId="11318"/>
    <cellStyle name="Normal 6 5 5 4 2 4" xfId="7968"/>
    <cellStyle name="Normal 6 5 5 4 3" xfId="5326"/>
    <cellStyle name="Normal 6 5 5 4 3 2" xfId="8676"/>
    <cellStyle name="Normal 6 5 5 4 4" xfId="10351"/>
    <cellStyle name="Normal 6 5 5 4 5" xfId="7001"/>
    <cellStyle name="Normal 6 5 5 5" xfId="3887"/>
    <cellStyle name="Normal 6 5 5 5 2" xfId="5562"/>
    <cellStyle name="Normal 6 5 5 5 2 2" xfId="8912"/>
    <cellStyle name="Normal 6 5 5 5 3" xfId="10587"/>
    <cellStyle name="Normal 6 5 5 5 4" xfId="7237"/>
    <cellStyle name="Normal 6 5 5 6" xfId="4146"/>
    <cellStyle name="Normal 6 5 5 6 2" xfId="5821"/>
    <cellStyle name="Normal 6 5 5 6 2 2" xfId="9171"/>
    <cellStyle name="Normal 6 5 5 6 3" xfId="10846"/>
    <cellStyle name="Normal 6 5 5 6 4" xfId="7496"/>
    <cellStyle name="Normal 6 5 5 7" xfId="4854"/>
    <cellStyle name="Normal 6 5 5 7 2" xfId="8204"/>
    <cellStyle name="Normal 6 5 5 8" xfId="9879"/>
    <cellStyle name="Normal 6 5 5 9" xfId="6529"/>
    <cellStyle name="Normal 6 5 6" xfId="3204"/>
    <cellStyle name="Normal 6 5 6 2" xfId="3440"/>
    <cellStyle name="Normal 6 5 6 2 2" xfId="4406"/>
    <cellStyle name="Normal 6 5 6 2 2 2" xfId="6081"/>
    <cellStyle name="Normal 6 5 6 2 2 2 2" xfId="9431"/>
    <cellStyle name="Normal 6 5 6 2 2 3" xfId="11106"/>
    <cellStyle name="Normal 6 5 6 2 2 4" xfId="7756"/>
    <cellStyle name="Normal 6 5 6 2 3" xfId="5114"/>
    <cellStyle name="Normal 6 5 6 2 3 2" xfId="8464"/>
    <cellStyle name="Normal 6 5 6 2 4" xfId="10139"/>
    <cellStyle name="Normal 6 5 6 2 5" xfId="6789"/>
    <cellStyle name="Normal 6 5 6 3" xfId="3675"/>
    <cellStyle name="Normal 6 5 6 3 2" xfId="4642"/>
    <cellStyle name="Normal 6 5 6 3 2 2" xfId="6317"/>
    <cellStyle name="Normal 6 5 6 3 2 2 2" xfId="9667"/>
    <cellStyle name="Normal 6 5 6 3 2 3" xfId="11342"/>
    <cellStyle name="Normal 6 5 6 3 2 4" xfId="7992"/>
    <cellStyle name="Normal 6 5 6 3 3" xfId="5350"/>
    <cellStyle name="Normal 6 5 6 3 3 2" xfId="8700"/>
    <cellStyle name="Normal 6 5 6 3 4" xfId="10375"/>
    <cellStyle name="Normal 6 5 6 3 5" xfId="7025"/>
    <cellStyle name="Normal 6 5 6 4" xfId="3911"/>
    <cellStyle name="Normal 6 5 6 4 2" xfId="5586"/>
    <cellStyle name="Normal 6 5 6 4 2 2" xfId="8936"/>
    <cellStyle name="Normal 6 5 6 4 3" xfId="10611"/>
    <cellStyle name="Normal 6 5 6 4 4" xfId="7261"/>
    <cellStyle name="Normal 6 5 6 5" xfId="4170"/>
    <cellStyle name="Normal 6 5 6 5 2" xfId="5845"/>
    <cellStyle name="Normal 6 5 6 5 2 2" xfId="9195"/>
    <cellStyle name="Normal 6 5 6 5 3" xfId="10870"/>
    <cellStyle name="Normal 6 5 6 5 4" xfId="7520"/>
    <cellStyle name="Normal 6 5 6 6" xfId="4878"/>
    <cellStyle name="Normal 6 5 6 6 2" xfId="8228"/>
    <cellStyle name="Normal 6 5 6 7" xfId="9903"/>
    <cellStyle name="Normal 6 5 6 8" xfId="6553"/>
    <cellStyle name="Normal 6 5 7" xfId="3322"/>
    <cellStyle name="Normal 6 5 7 2" xfId="4288"/>
    <cellStyle name="Normal 6 5 7 2 2" xfId="5963"/>
    <cellStyle name="Normal 6 5 7 2 2 2" xfId="9313"/>
    <cellStyle name="Normal 6 5 7 2 3" xfId="10988"/>
    <cellStyle name="Normal 6 5 7 2 4" xfId="7638"/>
    <cellStyle name="Normal 6 5 7 3" xfId="4996"/>
    <cellStyle name="Normal 6 5 7 3 2" xfId="8346"/>
    <cellStyle name="Normal 6 5 7 4" xfId="10021"/>
    <cellStyle name="Normal 6 5 7 5" xfId="6671"/>
    <cellStyle name="Normal 6 5 8" xfId="3557"/>
    <cellStyle name="Normal 6 5 8 2" xfId="4524"/>
    <cellStyle name="Normal 6 5 8 2 2" xfId="6199"/>
    <cellStyle name="Normal 6 5 8 2 2 2" xfId="9549"/>
    <cellStyle name="Normal 6 5 8 2 3" xfId="11224"/>
    <cellStyle name="Normal 6 5 8 2 4" xfId="7874"/>
    <cellStyle name="Normal 6 5 8 3" xfId="5232"/>
    <cellStyle name="Normal 6 5 8 3 2" xfId="8582"/>
    <cellStyle name="Normal 6 5 8 4" xfId="10257"/>
    <cellStyle name="Normal 6 5 8 5" xfId="6907"/>
    <cellStyle name="Normal 6 5 9" xfId="3793"/>
    <cellStyle name="Normal 6 5 9 2" xfId="4052"/>
    <cellStyle name="Normal 6 5 9 2 2" xfId="5727"/>
    <cellStyle name="Normal 6 5 9 2 2 2" xfId="9077"/>
    <cellStyle name="Normal 6 5 9 2 3" xfId="10752"/>
    <cellStyle name="Normal 6 5 9 2 4" xfId="7402"/>
    <cellStyle name="Normal 6 5 9 3" xfId="5468"/>
    <cellStyle name="Normal 6 5 9 3 2" xfId="8818"/>
    <cellStyle name="Normal 6 5 9 4" xfId="10493"/>
    <cellStyle name="Normal 6 5 9 5" xfId="7143"/>
    <cellStyle name="Normal 6 6" xfId="2665"/>
    <cellStyle name="Normal 7" xfId="54"/>
    <cellStyle name="Normal 7 2" xfId="283"/>
    <cellStyle name="Normal 7 2 2" xfId="2159"/>
    <cellStyle name="Normal 7 2 2 2" xfId="2666"/>
    <cellStyle name="Normal 7 2 2 2 2" xfId="2855"/>
    <cellStyle name="Normal 7 2 2 3" xfId="2814"/>
    <cellStyle name="Normal 7 2 3" xfId="2160"/>
    <cellStyle name="Normal 7 2 3 2" xfId="2431"/>
    <cellStyle name="Normal 7 2 4" xfId="2161"/>
    <cellStyle name="Normal 7 2 5" xfId="2158"/>
    <cellStyle name="Normal 7 2 5 2" xfId="2813"/>
    <cellStyle name="Normal 7 2 6" xfId="2667"/>
    <cellStyle name="Normal 7 3" xfId="351"/>
    <cellStyle name="Normal 7 3 2" xfId="2163"/>
    <cellStyle name="Normal 7 3 3" xfId="2162"/>
    <cellStyle name="Normal 7 4" xfId="8"/>
    <cellStyle name="Normal 7 4 10" xfId="4030"/>
    <cellStyle name="Normal 7 4 10 2" xfId="5705"/>
    <cellStyle name="Normal 7 4 10 2 2" xfId="9055"/>
    <cellStyle name="Normal 7 4 10 3" xfId="10730"/>
    <cellStyle name="Normal 7 4 10 4" xfId="7380"/>
    <cellStyle name="Normal 7 4 11" xfId="4761"/>
    <cellStyle name="Normal 7 4 11 2" xfId="8111"/>
    <cellStyle name="Normal 7 4 12" xfId="9786"/>
    <cellStyle name="Normal 7 4 13" xfId="6436"/>
    <cellStyle name="Normal 7 4 14" xfId="12243"/>
    <cellStyle name="Normal 7 4 2" xfId="3111"/>
    <cellStyle name="Normal 7 4 2 10" xfId="12275"/>
    <cellStyle name="Normal 7 4 2 2" xfId="3228"/>
    <cellStyle name="Normal 7 4 2 2 2" xfId="3464"/>
    <cellStyle name="Normal 7 4 2 2 2 2" xfId="4430"/>
    <cellStyle name="Normal 7 4 2 2 2 2 2" xfId="6105"/>
    <cellStyle name="Normal 7 4 2 2 2 2 2 2" xfId="9455"/>
    <cellStyle name="Normal 7 4 2 2 2 2 3" xfId="11130"/>
    <cellStyle name="Normal 7 4 2 2 2 2 4" xfId="7780"/>
    <cellStyle name="Normal 7 4 2 2 2 3" xfId="5138"/>
    <cellStyle name="Normal 7 4 2 2 2 3 2" xfId="8488"/>
    <cellStyle name="Normal 7 4 2 2 2 4" xfId="10163"/>
    <cellStyle name="Normal 7 4 2 2 2 5" xfId="6813"/>
    <cellStyle name="Normal 7 4 2 2 3" xfId="3699"/>
    <cellStyle name="Normal 7 4 2 2 3 2" xfId="4666"/>
    <cellStyle name="Normal 7 4 2 2 3 2 2" xfId="6341"/>
    <cellStyle name="Normal 7 4 2 2 3 2 2 2" xfId="9691"/>
    <cellStyle name="Normal 7 4 2 2 3 2 3" xfId="11366"/>
    <cellStyle name="Normal 7 4 2 2 3 2 4" xfId="8016"/>
    <cellStyle name="Normal 7 4 2 2 3 3" xfId="5374"/>
    <cellStyle name="Normal 7 4 2 2 3 3 2" xfId="8724"/>
    <cellStyle name="Normal 7 4 2 2 3 4" xfId="10399"/>
    <cellStyle name="Normal 7 4 2 2 3 5" xfId="7049"/>
    <cellStyle name="Normal 7 4 2 2 4" xfId="3935"/>
    <cellStyle name="Normal 7 4 2 2 4 2" xfId="5610"/>
    <cellStyle name="Normal 7 4 2 2 4 2 2" xfId="8960"/>
    <cellStyle name="Normal 7 4 2 2 4 3" xfId="10635"/>
    <cellStyle name="Normal 7 4 2 2 4 4" xfId="7285"/>
    <cellStyle name="Normal 7 4 2 2 5" xfId="4194"/>
    <cellStyle name="Normal 7 4 2 2 5 2" xfId="5869"/>
    <cellStyle name="Normal 7 4 2 2 5 2 2" xfId="9219"/>
    <cellStyle name="Normal 7 4 2 2 5 3" xfId="10894"/>
    <cellStyle name="Normal 7 4 2 2 5 4" xfId="7544"/>
    <cellStyle name="Normal 7 4 2 2 6" xfId="4902"/>
    <cellStyle name="Normal 7 4 2 2 6 2" xfId="8252"/>
    <cellStyle name="Normal 7 4 2 2 7" xfId="9927"/>
    <cellStyle name="Normal 7 4 2 2 8" xfId="6577"/>
    <cellStyle name="Normal 7 4 2 3" xfId="3346"/>
    <cellStyle name="Normal 7 4 2 3 2" xfId="4312"/>
    <cellStyle name="Normal 7 4 2 3 2 2" xfId="5987"/>
    <cellStyle name="Normal 7 4 2 3 2 2 2" xfId="9337"/>
    <cellStyle name="Normal 7 4 2 3 2 3" xfId="11012"/>
    <cellStyle name="Normal 7 4 2 3 2 4" xfId="7662"/>
    <cellStyle name="Normal 7 4 2 3 3" xfId="5020"/>
    <cellStyle name="Normal 7 4 2 3 3 2" xfId="8370"/>
    <cellStyle name="Normal 7 4 2 3 4" xfId="10045"/>
    <cellStyle name="Normal 7 4 2 3 5" xfId="6695"/>
    <cellStyle name="Normal 7 4 2 4" xfId="3581"/>
    <cellStyle name="Normal 7 4 2 4 2" xfId="4548"/>
    <cellStyle name="Normal 7 4 2 4 2 2" xfId="6223"/>
    <cellStyle name="Normal 7 4 2 4 2 2 2" xfId="9573"/>
    <cellStyle name="Normal 7 4 2 4 2 3" xfId="11248"/>
    <cellStyle name="Normal 7 4 2 4 2 4" xfId="7898"/>
    <cellStyle name="Normal 7 4 2 4 3" xfId="5256"/>
    <cellStyle name="Normal 7 4 2 4 3 2" xfId="8606"/>
    <cellStyle name="Normal 7 4 2 4 4" xfId="10281"/>
    <cellStyle name="Normal 7 4 2 4 5" xfId="6931"/>
    <cellStyle name="Normal 7 4 2 5" xfId="3817"/>
    <cellStyle name="Normal 7 4 2 5 2" xfId="5492"/>
    <cellStyle name="Normal 7 4 2 5 2 2" xfId="8842"/>
    <cellStyle name="Normal 7 4 2 5 3" xfId="10517"/>
    <cellStyle name="Normal 7 4 2 5 4" xfId="7167"/>
    <cellStyle name="Normal 7 4 2 6" xfId="4076"/>
    <cellStyle name="Normal 7 4 2 6 2" xfId="5751"/>
    <cellStyle name="Normal 7 4 2 6 2 2" xfId="9101"/>
    <cellStyle name="Normal 7 4 2 6 3" xfId="10776"/>
    <cellStyle name="Normal 7 4 2 6 4" xfId="7426"/>
    <cellStyle name="Normal 7 4 2 7" xfId="4784"/>
    <cellStyle name="Normal 7 4 2 7 2" xfId="8134"/>
    <cellStyle name="Normal 7 4 2 8" xfId="9809"/>
    <cellStyle name="Normal 7 4 2 9" xfId="6459"/>
    <cellStyle name="Normal 7 4 3" xfId="3134"/>
    <cellStyle name="Normal 7 4 3 2" xfId="3251"/>
    <cellStyle name="Normal 7 4 3 2 2" xfId="3487"/>
    <cellStyle name="Normal 7 4 3 2 2 2" xfId="4453"/>
    <cellStyle name="Normal 7 4 3 2 2 2 2" xfId="6128"/>
    <cellStyle name="Normal 7 4 3 2 2 2 2 2" xfId="9478"/>
    <cellStyle name="Normal 7 4 3 2 2 2 3" xfId="11153"/>
    <cellStyle name="Normal 7 4 3 2 2 2 4" xfId="7803"/>
    <cellStyle name="Normal 7 4 3 2 2 3" xfId="5161"/>
    <cellStyle name="Normal 7 4 3 2 2 3 2" xfId="8511"/>
    <cellStyle name="Normal 7 4 3 2 2 4" xfId="10186"/>
    <cellStyle name="Normal 7 4 3 2 2 5" xfId="6836"/>
    <cellStyle name="Normal 7 4 3 2 3" xfId="3722"/>
    <cellStyle name="Normal 7 4 3 2 3 2" xfId="4689"/>
    <cellStyle name="Normal 7 4 3 2 3 2 2" xfId="6364"/>
    <cellStyle name="Normal 7 4 3 2 3 2 2 2" xfId="9714"/>
    <cellStyle name="Normal 7 4 3 2 3 2 3" xfId="11389"/>
    <cellStyle name="Normal 7 4 3 2 3 2 4" xfId="8039"/>
    <cellStyle name="Normal 7 4 3 2 3 3" xfId="5397"/>
    <cellStyle name="Normal 7 4 3 2 3 3 2" xfId="8747"/>
    <cellStyle name="Normal 7 4 3 2 3 4" xfId="10422"/>
    <cellStyle name="Normal 7 4 3 2 3 5" xfId="7072"/>
    <cellStyle name="Normal 7 4 3 2 4" xfId="3958"/>
    <cellStyle name="Normal 7 4 3 2 4 2" xfId="5633"/>
    <cellStyle name="Normal 7 4 3 2 4 2 2" xfId="8983"/>
    <cellStyle name="Normal 7 4 3 2 4 3" xfId="10658"/>
    <cellStyle name="Normal 7 4 3 2 4 4" xfId="7308"/>
    <cellStyle name="Normal 7 4 3 2 5" xfId="4217"/>
    <cellStyle name="Normal 7 4 3 2 5 2" xfId="5892"/>
    <cellStyle name="Normal 7 4 3 2 5 2 2" xfId="9242"/>
    <cellStyle name="Normal 7 4 3 2 5 3" xfId="10917"/>
    <cellStyle name="Normal 7 4 3 2 5 4" xfId="7567"/>
    <cellStyle name="Normal 7 4 3 2 6" xfId="4925"/>
    <cellStyle name="Normal 7 4 3 2 6 2" xfId="8275"/>
    <cellStyle name="Normal 7 4 3 2 7" xfId="9950"/>
    <cellStyle name="Normal 7 4 3 2 8" xfId="6600"/>
    <cellStyle name="Normal 7 4 3 3" xfId="3369"/>
    <cellStyle name="Normal 7 4 3 3 2" xfId="4335"/>
    <cellStyle name="Normal 7 4 3 3 2 2" xfId="6010"/>
    <cellStyle name="Normal 7 4 3 3 2 2 2" xfId="9360"/>
    <cellStyle name="Normal 7 4 3 3 2 3" xfId="11035"/>
    <cellStyle name="Normal 7 4 3 3 2 4" xfId="7685"/>
    <cellStyle name="Normal 7 4 3 3 3" xfId="5043"/>
    <cellStyle name="Normal 7 4 3 3 3 2" xfId="8393"/>
    <cellStyle name="Normal 7 4 3 3 4" xfId="10068"/>
    <cellStyle name="Normal 7 4 3 3 5" xfId="6718"/>
    <cellStyle name="Normal 7 4 3 4" xfId="3604"/>
    <cellStyle name="Normal 7 4 3 4 2" xfId="4571"/>
    <cellStyle name="Normal 7 4 3 4 2 2" xfId="6246"/>
    <cellStyle name="Normal 7 4 3 4 2 2 2" xfId="9596"/>
    <cellStyle name="Normal 7 4 3 4 2 3" xfId="11271"/>
    <cellStyle name="Normal 7 4 3 4 2 4" xfId="7921"/>
    <cellStyle name="Normal 7 4 3 4 3" xfId="5279"/>
    <cellStyle name="Normal 7 4 3 4 3 2" xfId="8629"/>
    <cellStyle name="Normal 7 4 3 4 4" xfId="10304"/>
    <cellStyle name="Normal 7 4 3 4 5" xfId="6954"/>
    <cellStyle name="Normal 7 4 3 5" xfId="3840"/>
    <cellStyle name="Normal 7 4 3 5 2" xfId="5515"/>
    <cellStyle name="Normal 7 4 3 5 2 2" xfId="8865"/>
    <cellStyle name="Normal 7 4 3 5 3" xfId="10540"/>
    <cellStyle name="Normal 7 4 3 5 4" xfId="7190"/>
    <cellStyle name="Normal 7 4 3 6" xfId="4099"/>
    <cellStyle name="Normal 7 4 3 6 2" xfId="5774"/>
    <cellStyle name="Normal 7 4 3 6 2 2" xfId="9124"/>
    <cellStyle name="Normal 7 4 3 6 3" xfId="10799"/>
    <cellStyle name="Normal 7 4 3 6 4" xfId="7449"/>
    <cellStyle name="Normal 7 4 3 7" xfId="4807"/>
    <cellStyle name="Normal 7 4 3 7 2" xfId="8157"/>
    <cellStyle name="Normal 7 4 3 8" xfId="9832"/>
    <cellStyle name="Normal 7 4 3 9" xfId="6482"/>
    <cellStyle name="Normal 7 4 4" xfId="3157"/>
    <cellStyle name="Normal 7 4 4 2" xfId="3275"/>
    <cellStyle name="Normal 7 4 4 2 2" xfId="3511"/>
    <cellStyle name="Normal 7 4 4 2 2 2" xfId="4477"/>
    <cellStyle name="Normal 7 4 4 2 2 2 2" xfId="6152"/>
    <cellStyle name="Normal 7 4 4 2 2 2 2 2" xfId="9502"/>
    <cellStyle name="Normal 7 4 4 2 2 2 3" xfId="11177"/>
    <cellStyle name="Normal 7 4 4 2 2 2 4" xfId="7827"/>
    <cellStyle name="Normal 7 4 4 2 2 3" xfId="5185"/>
    <cellStyle name="Normal 7 4 4 2 2 3 2" xfId="8535"/>
    <cellStyle name="Normal 7 4 4 2 2 4" xfId="10210"/>
    <cellStyle name="Normal 7 4 4 2 2 5" xfId="6860"/>
    <cellStyle name="Normal 7 4 4 2 3" xfId="3746"/>
    <cellStyle name="Normal 7 4 4 2 3 2" xfId="4713"/>
    <cellStyle name="Normal 7 4 4 2 3 2 2" xfId="6388"/>
    <cellStyle name="Normal 7 4 4 2 3 2 2 2" xfId="9738"/>
    <cellStyle name="Normal 7 4 4 2 3 2 3" xfId="11413"/>
    <cellStyle name="Normal 7 4 4 2 3 2 4" xfId="8063"/>
    <cellStyle name="Normal 7 4 4 2 3 3" xfId="5421"/>
    <cellStyle name="Normal 7 4 4 2 3 3 2" xfId="8771"/>
    <cellStyle name="Normal 7 4 4 2 3 4" xfId="10446"/>
    <cellStyle name="Normal 7 4 4 2 3 5" xfId="7096"/>
    <cellStyle name="Normal 7 4 4 2 4" xfId="3982"/>
    <cellStyle name="Normal 7 4 4 2 4 2" xfId="5657"/>
    <cellStyle name="Normal 7 4 4 2 4 2 2" xfId="9007"/>
    <cellStyle name="Normal 7 4 4 2 4 3" xfId="10682"/>
    <cellStyle name="Normal 7 4 4 2 4 4" xfId="7332"/>
    <cellStyle name="Normal 7 4 4 2 5" xfId="4241"/>
    <cellStyle name="Normal 7 4 4 2 5 2" xfId="5916"/>
    <cellStyle name="Normal 7 4 4 2 5 2 2" xfId="9266"/>
    <cellStyle name="Normal 7 4 4 2 5 3" xfId="10941"/>
    <cellStyle name="Normal 7 4 4 2 5 4" xfId="7591"/>
    <cellStyle name="Normal 7 4 4 2 6" xfId="4949"/>
    <cellStyle name="Normal 7 4 4 2 6 2" xfId="8299"/>
    <cellStyle name="Normal 7 4 4 2 7" xfId="9974"/>
    <cellStyle name="Normal 7 4 4 2 8" xfId="6624"/>
    <cellStyle name="Normal 7 4 4 3" xfId="3393"/>
    <cellStyle name="Normal 7 4 4 3 2" xfId="4359"/>
    <cellStyle name="Normal 7 4 4 3 2 2" xfId="6034"/>
    <cellStyle name="Normal 7 4 4 3 2 2 2" xfId="9384"/>
    <cellStyle name="Normal 7 4 4 3 2 3" xfId="11059"/>
    <cellStyle name="Normal 7 4 4 3 2 4" xfId="7709"/>
    <cellStyle name="Normal 7 4 4 3 3" xfId="5067"/>
    <cellStyle name="Normal 7 4 4 3 3 2" xfId="8417"/>
    <cellStyle name="Normal 7 4 4 3 4" xfId="10092"/>
    <cellStyle name="Normal 7 4 4 3 5" xfId="6742"/>
    <cellStyle name="Normal 7 4 4 4" xfId="3628"/>
    <cellStyle name="Normal 7 4 4 4 2" xfId="4595"/>
    <cellStyle name="Normal 7 4 4 4 2 2" xfId="6270"/>
    <cellStyle name="Normal 7 4 4 4 2 2 2" xfId="9620"/>
    <cellStyle name="Normal 7 4 4 4 2 3" xfId="11295"/>
    <cellStyle name="Normal 7 4 4 4 2 4" xfId="7945"/>
    <cellStyle name="Normal 7 4 4 4 3" xfId="5303"/>
    <cellStyle name="Normal 7 4 4 4 3 2" xfId="8653"/>
    <cellStyle name="Normal 7 4 4 4 4" xfId="10328"/>
    <cellStyle name="Normal 7 4 4 4 5" xfId="6978"/>
    <cellStyle name="Normal 7 4 4 5" xfId="3864"/>
    <cellStyle name="Normal 7 4 4 5 2" xfId="5539"/>
    <cellStyle name="Normal 7 4 4 5 2 2" xfId="8889"/>
    <cellStyle name="Normal 7 4 4 5 3" xfId="10564"/>
    <cellStyle name="Normal 7 4 4 5 4" xfId="7214"/>
    <cellStyle name="Normal 7 4 4 6" xfId="4123"/>
    <cellStyle name="Normal 7 4 4 6 2" xfId="5798"/>
    <cellStyle name="Normal 7 4 4 6 2 2" xfId="9148"/>
    <cellStyle name="Normal 7 4 4 6 3" xfId="10823"/>
    <cellStyle name="Normal 7 4 4 6 4" xfId="7473"/>
    <cellStyle name="Normal 7 4 4 7" xfId="4831"/>
    <cellStyle name="Normal 7 4 4 7 2" xfId="8181"/>
    <cellStyle name="Normal 7 4 4 8" xfId="9856"/>
    <cellStyle name="Normal 7 4 4 9" xfId="6506"/>
    <cellStyle name="Normal 7 4 5" xfId="3181"/>
    <cellStyle name="Normal 7 4 5 2" xfId="3299"/>
    <cellStyle name="Normal 7 4 5 2 2" xfId="3535"/>
    <cellStyle name="Normal 7 4 5 2 2 2" xfId="4501"/>
    <cellStyle name="Normal 7 4 5 2 2 2 2" xfId="6176"/>
    <cellStyle name="Normal 7 4 5 2 2 2 2 2" xfId="9526"/>
    <cellStyle name="Normal 7 4 5 2 2 2 3" xfId="11201"/>
    <cellStyle name="Normal 7 4 5 2 2 2 4" xfId="7851"/>
    <cellStyle name="Normal 7 4 5 2 2 3" xfId="5209"/>
    <cellStyle name="Normal 7 4 5 2 2 3 2" xfId="8559"/>
    <cellStyle name="Normal 7 4 5 2 2 4" xfId="10234"/>
    <cellStyle name="Normal 7 4 5 2 2 5" xfId="6884"/>
    <cellStyle name="Normal 7 4 5 2 3" xfId="3770"/>
    <cellStyle name="Normal 7 4 5 2 3 2" xfId="4737"/>
    <cellStyle name="Normal 7 4 5 2 3 2 2" xfId="6412"/>
    <cellStyle name="Normal 7 4 5 2 3 2 2 2" xfId="9762"/>
    <cellStyle name="Normal 7 4 5 2 3 2 3" xfId="11437"/>
    <cellStyle name="Normal 7 4 5 2 3 2 4" xfId="8087"/>
    <cellStyle name="Normal 7 4 5 2 3 3" xfId="5445"/>
    <cellStyle name="Normal 7 4 5 2 3 3 2" xfId="8795"/>
    <cellStyle name="Normal 7 4 5 2 3 4" xfId="10470"/>
    <cellStyle name="Normal 7 4 5 2 3 5" xfId="7120"/>
    <cellStyle name="Normal 7 4 5 2 4" xfId="4006"/>
    <cellStyle name="Normal 7 4 5 2 4 2" xfId="5681"/>
    <cellStyle name="Normal 7 4 5 2 4 2 2" xfId="9031"/>
    <cellStyle name="Normal 7 4 5 2 4 3" xfId="10706"/>
    <cellStyle name="Normal 7 4 5 2 4 4" xfId="7356"/>
    <cellStyle name="Normal 7 4 5 2 5" xfId="4265"/>
    <cellStyle name="Normal 7 4 5 2 5 2" xfId="5940"/>
    <cellStyle name="Normal 7 4 5 2 5 2 2" xfId="9290"/>
    <cellStyle name="Normal 7 4 5 2 5 3" xfId="10965"/>
    <cellStyle name="Normal 7 4 5 2 5 4" xfId="7615"/>
    <cellStyle name="Normal 7 4 5 2 6" xfId="4973"/>
    <cellStyle name="Normal 7 4 5 2 6 2" xfId="8323"/>
    <cellStyle name="Normal 7 4 5 2 7" xfId="9998"/>
    <cellStyle name="Normal 7 4 5 2 8" xfId="6648"/>
    <cellStyle name="Normal 7 4 5 3" xfId="3417"/>
    <cellStyle name="Normal 7 4 5 3 2" xfId="4383"/>
    <cellStyle name="Normal 7 4 5 3 2 2" xfId="6058"/>
    <cellStyle name="Normal 7 4 5 3 2 2 2" xfId="9408"/>
    <cellStyle name="Normal 7 4 5 3 2 3" xfId="11083"/>
    <cellStyle name="Normal 7 4 5 3 2 4" xfId="7733"/>
    <cellStyle name="Normal 7 4 5 3 3" xfId="5091"/>
    <cellStyle name="Normal 7 4 5 3 3 2" xfId="8441"/>
    <cellStyle name="Normal 7 4 5 3 4" xfId="10116"/>
    <cellStyle name="Normal 7 4 5 3 5" xfId="6766"/>
    <cellStyle name="Normal 7 4 5 4" xfId="3652"/>
    <cellStyle name="Normal 7 4 5 4 2" xfId="4619"/>
    <cellStyle name="Normal 7 4 5 4 2 2" xfId="6294"/>
    <cellStyle name="Normal 7 4 5 4 2 2 2" xfId="9644"/>
    <cellStyle name="Normal 7 4 5 4 2 3" xfId="11319"/>
    <cellStyle name="Normal 7 4 5 4 2 4" xfId="7969"/>
    <cellStyle name="Normal 7 4 5 4 3" xfId="5327"/>
    <cellStyle name="Normal 7 4 5 4 3 2" xfId="8677"/>
    <cellStyle name="Normal 7 4 5 4 4" xfId="10352"/>
    <cellStyle name="Normal 7 4 5 4 5" xfId="7002"/>
    <cellStyle name="Normal 7 4 5 5" xfId="3888"/>
    <cellStyle name="Normal 7 4 5 5 2" xfId="5563"/>
    <cellStyle name="Normal 7 4 5 5 2 2" xfId="8913"/>
    <cellStyle name="Normal 7 4 5 5 3" xfId="10588"/>
    <cellStyle name="Normal 7 4 5 5 4" xfId="7238"/>
    <cellStyle name="Normal 7 4 5 6" xfId="4147"/>
    <cellStyle name="Normal 7 4 5 6 2" xfId="5822"/>
    <cellStyle name="Normal 7 4 5 6 2 2" xfId="9172"/>
    <cellStyle name="Normal 7 4 5 6 3" xfId="10847"/>
    <cellStyle name="Normal 7 4 5 6 4" xfId="7497"/>
    <cellStyle name="Normal 7 4 5 7" xfId="4855"/>
    <cellStyle name="Normal 7 4 5 7 2" xfId="8205"/>
    <cellStyle name="Normal 7 4 5 8" xfId="9880"/>
    <cellStyle name="Normal 7 4 5 9" xfId="6530"/>
    <cellStyle name="Normal 7 4 6" xfId="3205"/>
    <cellStyle name="Normal 7 4 6 2" xfId="3441"/>
    <cellStyle name="Normal 7 4 6 2 2" xfId="4407"/>
    <cellStyle name="Normal 7 4 6 2 2 2" xfId="6082"/>
    <cellStyle name="Normal 7 4 6 2 2 2 2" xfId="9432"/>
    <cellStyle name="Normal 7 4 6 2 2 3" xfId="11107"/>
    <cellStyle name="Normal 7 4 6 2 2 4" xfId="7757"/>
    <cellStyle name="Normal 7 4 6 2 3" xfId="5115"/>
    <cellStyle name="Normal 7 4 6 2 3 2" xfId="8465"/>
    <cellStyle name="Normal 7 4 6 2 4" xfId="10140"/>
    <cellStyle name="Normal 7 4 6 2 5" xfId="6790"/>
    <cellStyle name="Normal 7 4 6 3" xfId="3676"/>
    <cellStyle name="Normal 7 4 6 3 2" xfId="4643"/>
    <cellStyle name="Normal 7 4 6 3 2 2" xfId="6318"/>
    <cellStyle name="Normal 7 4 6 3 2 2 2" xfId="9668"/>
    <cellStyle name="Normal 7 4 6 3 2 3" xfId="11343"/>
    <cellStyle name="Normal 7 4 6 3 2 4" xfId="7993"/>
    <cellStyle name="Normal 7 4 6 3 3" xfId="5351"/>
    <cellStyle name="Normal 7 4 6 3 3 2" xfId="8701"/>
    <cellStyle name="Normal 7 4 6 3 4" xfId="10376"/>
    <cellStyle name="Normal 7 4 6 3 5" xfId="7026"/>
    <cellStyle name="Normal 7 4 6 4" xfId="3912"/>
    <cellStyle name="Normal 7 4 6 4 2" xfId="5587"/>
    <cellStyle name="Normal 7 4 6 4 2 2" xfId="8937"/>
    <cellStyle name="Normal 7 4 6 4 3" xfId="10612"/>
    <cellStyle name="Normal 7 4 6 4 4" xfId="7262"/>
    <cellStyle name="Normal 7 4 6 5" xfId="4171"/>
    <cellStyle name="Normal 7 4 6 5 2" xfId="5846"/>
    <cellStyle name="Normal 7 4 6 5 2 2" xfId="9196"/>
    <cellStyle name="Normal 7 4 6 5 3" xfId="10871"/>
    <cellStyle name="Normal 7 4 6 5 4" xfId="7521"/>
    <cellStyle name="Normal 7 4 6 6" xfId="4879"/>
    <cellStyle name="Normal 7 4 6 6 2" xfId="8229"/>
    <cellStyle name="Normal 7 4 6 7" xfId="9904"/>
    <cellStyle name="Normal 7 4 6 8" xfId="6554"/>
    <cellStyle name="Normal 7 4 7" xfId="3323"/>
    <cellStyle name="Normal 7 4 7 2" xfId="4289"/>
    <cellStyle name="Normal 7 4 7 2 2" xfId="5964"/>
    <cellStyle name="Normal 7 4 7 2 2 2" xfId="9314"/>
    <cellStyle name="Normal 7 4 7 2 3" xfId="10989"/>
    <cellStyle name="Normal 7 4 7 2 4" xfId="7639"/>
    <cellStyle name="Normal 7 4 7 3" xfId="4997"/>
    <cellStyle name="Normal 7 4 7 3 2" xfId="8347"/>
    <cellStyle name="Normal 7 4 7 4" xfId="10022"/>
    <cellStyle name="Normal 7 4 7 5" xfId="6672"/>
    <cellStyle name="Normal 7 4 8" xfId="3558"/>
    <cellStyle name="Normal 7 4 8 2" xfId="4525"/>
    <cellStyle name="Normal 7 4 8 2 2" xfId="6200"/>
    <cellStyle name="Normal 7 4 8 2 2 2" xfId="9550"/>
    <cellStyle name="Normal 7 4 8 2 3" xfId="11225"/>
    <cellStyle name="Normal 7 4 8 2 4" xfId="7875"/>
    <cellStyle name="Normal 7 4 8 3" xfId="5233"/>
    <cellStyle name="Normal 7 4 8 3 2" xfId="8583"/>
    <cellStyle name="Normal 7 4 8 4" xfId="10258"/>
    <cellStyle name="Normal 7 4 8 5" xfId="6908"/>
    <cellStyle name="Normal 7 4 9" xfId="3794"/>
    <cellStyle name="Normal 7 4 9 2" xfId="4053"/>
    <cellStyle name="Normal 7 4 9 2 2" xfId="5728"/>
    <cellStyle name="Normal 7 4 9 2 2 2" xfId="9078"/>
    <cellStyle name="Normal 7 4 9 2 3" xfId="10753"/>
    <cellStyle name="Normal 7 4 9 2 4" xfId="7403"/>
    <cellStyle name="Normal 7 4 9 3" xfId="5469"/>
    <cellStyle name="Normal 7 4 9 3 2" xfId="8819"/>
    <cellStyle name="Normal 7 4 9 4" xfId="10494"/>
    <cellStyle name="Normal 7 4 9 5" xfId="7144"/>
    <cellStyle name="Normal 8" xfId="43"/>
    <cellStyle name="Normal 8 2" xfId="296"/>
    <cellStyle name="Normal 8 2 2" xfId="2166"/>
    <cellStyle name="Normal 8 2 3" xfId="2165"/>
    <cellStyle name="Normal 8 2 3 2" xfId="2815"/>
    <cellStyle name="Normal 8 2 4" xfId="2668"/>
    <cellStyle name="Normal 8 3" xfId="373"/>
    <cellStyle name="Normal 8 3 2" xfId="2168"/>
    <cellStyle name="Normal 8 3 2 2" xfId="2669"/>
    <cellStyle name="Normal 8 3 2 2 2" xfId="2856"/>
    <cellStyle name="Normal 8 3 2 3" xfId="2816"/>
    <cellStyle name="Normal 8 3 3" xfId="2167"/>
    <cellStyle name="Normal 8 3 4" xfId="2786"/>
    <cellStyle name="Normal 8 3 5" xfId="12107"/>
    <cellStyle name="Normal 8 4" xfId="2164"/>
    <cellStyle name="Normal 8 5" xfId="2670"/>
    <cellStyle name="Normal 8 6" xfId="2761"/>
    <cellStyle name="Normal 8 7" xfId="273"/>
    <cellStyle name="Normal 9" xfId="51"/>
    <cellStyle name="Normal 9 2" xfId="2170"/>
    <cellStyle name="Normal 9 2 2" xfId="2171"/>
    <cellStyle name="Normal 9 3" xfId="2172"/>
    <cellStyle name="Normal 9 3 10" xfId="4031"/>
    <cellStyle name="Normal 9 3 10 2" xfId="5706"/>
    <cellStyle name="Normal 9 3 10 2 2" xfId="9056"/>
    <cellStyle name="Normal 9 3 10 3" xfId="10731"/>
    <cellStyle name="Normal 9 3 10 4" xfId="7381"/>
    <cellStyle name="Normal 9 3 11" xfId="4762"/>
    <cellStyle name="Normal 9 3 11 2" xfId="8112"/>
    <cellStyle name="Normal 9 3 12" xfId="9787"/>
    <cellStyle name="Normal 9 3 13" xfId="6437"/>
    <cellStyle name="Normal 9 3 14" xfId="12244"/>
    <cellStyle name="Normal 9 3 2" xfId="3112"/>
    <cellStyle name="Normal 9 3 2 2" xfId="3229"/>
    <cellStyle name="Normal 9 3 2 2 2" xfId="3465"/>
    <cellStyle name="Normal 9 3 2 2 2 2" xfId="4431"/>
    <cellStyle name="Normal 9 3 2 2 2 2 2" xfId="6106"/>
    <cellStyle name="Normal 9 3 2 2 2 2 2 2" xfId="9456"/>
    <cellStyle name="Normal 9 3 2 2 2 2 3" xfId="11131"/>
    <cellStyle name="Normal 9 3 2 2 2 2 4" xfId="7781"/>
    <cellStyle name="Normal 9 3 2 2 2 3" xfId="5139"/>
    <cellStyle name="Normal 9 3 2 2 2 3 2" xfId="8489"/>
    <cellStyle name="Normal 9 3 2 2 2 4" xfId="10164"/>
    <cellStyle name="Normal 9 3 2 2 2 5" xfId="6814"/>
    <cellStyle name="Normal 9 3 2 2 3" xfId="3700"/>
    <cellStyle name="Normal 9 3 2 2 3 2" xfId="4667"/>
    <cellStyle name="Normal 9 3 2 2 3 2 2" xfId="6342"/>
    <cellStyle name="Normal 9 3 2 2 3 2 2 2" xfId="9692"/>
    <cellStyle name="Normal 9 3 2 2 3 2 3" xfId="11367"/>
    <cellStyle name="Normal 9 3 2 2 3 2 4" xfId="8017"/>
    <cellStyle name="Normal 9 3 2 2 3 3" xfId="5375"/>
    <cellStyle name="Normal 9 3 2 2 3 3 2" xfId="8725"/>
    <cellStyle name="Normal 9 3 2 2 3 4" xfId="10400"/>
    <cellStyle name="Normal 9 3 2 2 3 5" xfId="7050"/>
    <cellStyle name="Normal 9 3 2 2 4" xfId="3936"/>
    <cellStyle name="Normal 9 3 2 2 4 2" xfId="5611"/>
    <cellStyle name="Normal 9 3 2 2 4 2 2" xfId="8961"/>
    <cellStyle name="Normal 9 3 2 2 4 3" xfId="10636"/>
    <cellStyle name="Normal 9 3 2 2 4 4" xfId="7286"/>
    <cellStyle name="Normal 9 3 2 2 5" xfId="4195"/>
    <cellStyle name="Normal 9 3 2 2 5 2" xfId="5870"/>
    <cellStyle name="Normal 9 3 2 2 5 2 2" xfId="9220"/>
    <cellStyle name="Normal 9 3 2 2 5 3" xfId="10895"/>
    <cellStyle name="Normal 9 3 2 2 5 4" xfId="7545"/>
    <cellStyle name="Normal 9 3 2 2 6" xfId="4903"/>
    <cellStyle name="Normal 9 3 2 2 6 2" xfId="8253"/>
    <cellStyle name="Normal 9 3 2 2 7" xfId="9928"/>
    <cellStyle name="Normal 9 3 2 2 8" xfId="6578"/>
    <cellStyle name="Normal 9 3 2 3" xfId="3347"/>
    <cellStyle name="Normal 9 3 2 3 2" xfId="4313"/>
    <cellStyle name="Normal 9 3 2 3 2 2" xfId="5988"/>
    <cellStyle name="Normal 9 3 2 3 2 2 2" xfId="9338"/>
    <cellStyle name="Normal 9 3 2 3 2 3" xfId="11013"/>
    <cellStyle name="Normal 9 3 2 3 2 4" xfId="7663"/>
    <cellStyle name="Normal 9 3 2 3 3" xfId="5021"/>
    <cellStyle name="Normal 9 3 2 3 3 2" xfId="8371"/>
    <cellStyle name="Normal 9 3 2 3 4" xfId="10046"/>
    <cellStyle name="Normal 9 3 2 3 5" xfId="6696"/>
    <cellStyle name="Normal 9 3 2 4" xfId="3582"/>
    <cellStyle name="Normal 9 3 2 4 2" xfId="4549"/>
    <cellStyle name="Normal 9 3 2 4 2 2" xfId="6224"/>
    <cellStyle name="Normal 9 3 2 4 2 2 2" xfId="9574"/>
    <cellStyle name="Normal 9 3 2 4 2 3" xfId="11249"/>
    <cellStyle name="Normal 9 3 2 4 2 4" xfId="7899"/>
    <cellStyle name="Normal 9 3 2 4 3" xfId="5257"/>
    <cellStyle name="Normal 9 3 2 4 3 2" xfId="8607"/>
    <cellStyle name="Normal 9 3 2 4 4" xfId="10282"/>
    <cellStyle name="Normal 9 3 2 4 5" xfId="6932"/>
    <cellStyle name="Normal 9 3 2 5" xfId="3818"/>
    <cellStyle name="Normal 9 3 2 5 2" xfId="5493"/>
    <cellStyle name="Normal 9 3 2 5 2 2" xfId="8843"/>
    <cellStyle name="Normal 9 3 2 5 3" xfId="10518"/>
    <cellStyle name="Normal 9 3 2 5 4" xfId="7168"/>
    <cellStyle name="Normal 9 3 2 6" xfId="4077"/>
    <cellStyle name="Normal 9 3 2 6 2" xfId="5752"/>
    <cellStyle name="Normal 9 3 2 6 2 2" xfId="9102"/>
    <cellStyle name="Normal 9 3 2 6 3" xfId="10777"/>
    <cellStyle name="Normal 9 3 2 6 4" xfId="7427"/>
    <cellStyle name="Normal 9 3 2 7" xfId="4785"/>
    <cellStyle name="Normal 9 3 2 7 2" xfId="8135"/>
    <cellStyle name="Normal 9 3 2 8" xfId="9810"/>
    <cellStyle name="Normal 9 3 2 9" xfId="6460"/>
    <cellStyle name="Normal 9 3 3" xfId="3135"/>
    <cellStyle name="Normal 9 3 3 2" xfId="3252"/>
    <cellStyle name="Normal 9 3 3 2 2" xfId="3488"/>
    <cellStyle name="Normal 9 3 3 2 2 2" xfId="4454"/>
    <cellStyle name="Normal 9 3 3 2 2 2 2" xfId="6129"/>
    <cellStyle name="Normal 9 3 3 2 2 2 2 2" xfId="9479"/>
    <cellStyle name="Normal 9 3 3 2 2 2 3" xfId="11154"/>
    <cellStyle name="Normal 9 3 3 2 2 2 4" xfId="7804"/>
    <cellStyle name="Normal 9 3 3 2 2 3" xfId="5162"/>
    <cellStyle name="Normal 9 3 3 2 2 3 2" xfId="8512"/>
    <cellStyle name="Normal 9 3 3 2 2 4" xfId="10187"/>
    <cellStyle name="Normal 9 3 3 2 2 5" xfId="6837"/>
    <cellStyle name="Normal 9 3 3 2 3" xfId="3723"/>
    <cellStyle name="Normal 9 3 3 2 3 2" xfId="4690"/>
    <cellStyle name="Normal 9 3 3 2 3 2 2" xfId="6365"/>
    <cellStyle name="Normal 9 3 3 2 3 2 2 2" xfId="9715"/>
    <cellStyle name="Normal 9 3 3 2 3 2 3" xfId="11390"/>
    <cellStyle name="Normal 9 3 3 2 3 2 4" xfId="8040"/>
    <cellStyle name="Normal 9 3 3 2 3 3" xfId="5398"/>
    <cellStyle name="Normal 9 3 3 2 3 3 2" xfId="8748"/>
    <cellStyle name="Normal 9 3 3 2 3 4" xfId="10423"/>
    <cellStyle name="Normal 9 3 3 2 3 5" xfId="7073"/>
    <cellStyle name="Normal 9 3 3 2 4" xfId="3959"/>
    <cellStyle name="Normal 9 3 3 2 4 2" xfId="5634"/>
    <cellStyle name="Normal 9 3 3 2 4 2 2" xfId="8984"/>
    <cellStyle name="Normal 9 3 3 2 4 3" xfId="10659"/>
    <cellStyle name="Normal 9 3 3 2 4 4" xfId="7309"/>
    <cellStyle name="Normal 9 3 3 2 5" xfId="4218"/>
    <cellStyle name="Normal 9 3 3 2 5 2" xfId="5893"/>
    <cellStyle name="Normal 9 3 3 2 5 2 2" xfId="9243"/>
    <cellStyle name="Normal 9 3 3 2 5 3" xfId="10918"/>
    <cellStyle name="Normal 9 3 3 2 5 4" xfId="7568"/>
    <cellStyle name="Normal 9 3 3 2 6" xfId="4926"/>
    <cellStyle name="Normal 9 3 3 2 6 2" xfId="8276"/>
    <cellStyle name="Normal 9 3 3 2 7" xfId="9951"/>
    <cellStyle name="Normal 9 3 3 2 8" xfId="6601"/>
    <cellStyle name="Normal 9 3 3 3" xfId="3370"/>
    <cellStyle name="Normal 9 3 3 3 2" xfId="4336"/>
    <cellStyle name="Normal 9 3 3 3 2 2" xfId="6011"/>
    <cellStyle name="Normal 9 3 3 3 2 2 2" xfId="9361"/>
    <cellStyle name="Normal 9 3 3 3 2 3" xfId="11036"/>
    <cellStyle name="Normal 9 3 3 3 2 4" xfId="7686"/>
    <cellStyle name="Normal 9 3 3 3 3" xfId="5044"/>
    <cellStyle name="Normal 9 3 3 3 3 2" xfId="8394"/>
    <cellStyle name="Normal 9 3 3 3 4" xfId="10069"/>
    <cellStyle name="Normal 9 3 3 3 5" xfId="6719"/>
    <cellStyle name="Normal 9 3 3 4" xfId="3605"/>
    <cellStyle name="Normal 9 3 3 4 2" xfId="4572"/>
    <cellStyle name="Normal 9 3 3 4 2 2" xfId="6247"/>
    <cellStyle name="Normal 9 3 3 4 2 2 2" xfId="9597"/>
    <cellStyle name="Normal 9 3 3 4 2 3" xfId="11272"/>
    <cellStyle name="Normal 9 3 3 4 2 4" xfId="7922"/>
    <cellStyle name="Normal 9 3 3 4 3" xfId="5280"/>
    <cellStyle name="Normal 9 3 3 4 3 2" xfId="8630"/>
    <cellStyle name="Normal 9 3 3 4 4" xfId="10305"/>
    <cellStyle name="Normal 9 3 3 4 5" xfId="6955"/>
    <cellStyle name="Normal 9 3 3 5" xfId="3841"/>
    <cellStyle name="Normal 9 3 3 5 2" xfId="5516"/>
    <cellStyle name="Normal 9 3 3 5 2 2" xfId="8866"/>
    <cellStyle name="Normal 9 3 3 5 3" xfId="10541"/>
    <cellStyle name="Normal 9 3 3 5 4" xfId="7191"/>
    <cellStyle name="Normal 9 3 3 6" xfId="4100"/>
    <cellStyle name="Normal 9 3 3 6 2" xfId="5775"/>
    <cellStyle name="Normal 9 3 3 6 2 2" xfId="9125"/>
    <cellStyle name="Normal 9 3 3 6 3" xfId="10800"/>
    <cellStyle name="Normal 9 3 3 6 4" xfId="7450"/>
    <cellStyle name="Normal 9 3 3 7" xfId="4808"/>
    <cellStyle name="Normal 9 3 3 7 2" xfId="8158"/>
    <cellStyle name="Normal 9 3 3 8" xfId="9833"/>
    <cellStyle name="Normal 9 3 3 9" xfId="6483"/>
    <cellStyle name="Normal 9 3 4" xfId="3158"/>
    <cellStyle name="Normal 9 3 4 2" xfId="3276"/>
    <cellStyle name="Normal 9 3 4 2 2" xfId="3512"/>
    <cellStyle name="Normal 9 3 4 2 2 2" xfId="4478"/>
    <cellStyle name="Normal 9 3 4 2 2 2 2" xfId="6153"/>
    <cellStyle name="Normal 9 3 4 2 2 2 2 2" xfId="9503"/>
    <cellStyle name="Normal 9 3 4 2 2 2 3" xfId="11178"/>
    <cellStyle name="Normal 9 3 4 2 2 2 4" xfId="7828"/>
    <cellStyle name="Normal 9 3 4 2 2 3" xfId="5186"/>
    <cellStyle name="Normal 9 3 4 2 2 3 2" xfId="8536"/>
    <cellStyle name="Normal 9 3 4 2 2 4" xfId="10211"/>
    <cellStyle name="Normal 9 3 4 2 2 5" xfId="6861"/>
    <cellStyle name="Normal 9 3 4 2 3" xfId="3747"/>
    <cellStyle name="Normal 9 3 4 2 3 2" xfId="4714"/>
    <cellStyle name="Normal 9 3 4 2 3 2 2" xfId="6389"/>
    <cellStyle name="Normal 9 3 4 2 3 2 2 2" xfId="9739"/>
    <cellStyle name="Normal 9 3 4 2 3 2 3" xfId="11414"/>
    <cellStyle name="Normal 9 3 4 2 3 2 4" xfId="8064"/>
    <cellStyle name="Normal 9 3 4 2 3 3" xfId="5422"/>
    <cellStyle name="Normal 9 3 4 2 3 3 2" xfId="8772"/>
    <cellStyle name="Normal 9 3 4 2 3 4" xfId="10447"/>
    <cellStyle name="Normal 9 3 4 2 3 5" xfId="7097"/>
    <cellStyle name="Normal 9 3 4 2 4" xfId="3983"/>
    <cellStyle name="Normal 9 3 4 2 4 2" xfId="5658"/>
    <cellStyle name="Normal 9 3 4 2 4 2 2" xfId="9008"/>
    <cellStyle name="Normal 9 3 4 2 4 3" xfId="10683"/>
    <cellStyle name="Normal 9 3 4 2 4 4" xfId="7333"/>
    <cellStyle name="Normal 9 3 4 2 5" xfId="4242"/>
    <cellStyle name="Normal 9 3 4 2 5 2" xfId="5917"/>
    <cellStyle name="Normal 9 3 4 2 5 2 2" xfId="9267"/>
    <cellStyle name="Normal 9 3 4 2 5 3" xfId="10942"/>
    <cellStyle name="Normal 9 3 4 2 5 4" xfId="7592"/>
    <cellStyle name="Normal 9 3 4 2 6" xfId="4950"/>
    <cellStyle name="Normal 9 3 4 2 6 2" xfId="8300"/>
    <cellStyle name="Normal 9 3 4 2 7" xfId="9975"/>
    <cellStyle name="Normal 9 3 4 2 8" xfId="6625"/>
    <cellStyle name="Normal 9 3 4 3" xfId="3394"/>
    <cellStyle name="Normal 9 3 4 3 2" xfId="4360"/>
    <cellStyle name="Normal 9 3 4 3 2 2" xfId="6035"/>
    <cellStyle name="Normal 9 3 4 3 2 2 2" xfId="9385"/>
    <cellStyle name="Normal 9 3 4 3 2 3" xfId="11060"/>
    <cellStyle name="Normal 9 3 4 3 2 4" xfId="7710"/>
    <cellStyle name="Normal 9 3 4 3 3" xfId="5068"/>
    <cellStyle name="Normal 9 3 4 3 3 2" xfId="8418"/>
    <cellStyle name="Normal 9 3 4 3 4" xfId="10093"/>
    <cellStyle name="Normal 9 3 4 3 5" xfId="6743"/>
    <cellStyle name="Normal 9 3 4 4" xfId="3629"/>
    <cellStyle name="Normal 9 3 4 4 2" xfId="4596"/>
    <cellStyle name="Normal 9 3 4 4 2 2" xfId="6271"/>
    <cellStyle name="Normal 9 3 4 4 2 2 2" xfId="9621"/>
    <cellStyle name="Normal 9 3 4 4 2 3" xfId="11296"/>
    <cellStyle name="Normal 9 3 4 4 2 4" xfId="7946"/>
    <cellStyle name="Normal 9 3 4 4 3" xfId="5304"/>
    <cellStyle name="Normal 9 3 4 4 3 2" xfId="8654"/>
    <cellStyle name="Normal 9 3 4 4 4" xfId="10329"/>
    <cellStyle name="Normal 9 3 4 4 5" xfId="6979"/>
    <cellStyle name="Normal 9 3 4 5" xfId="3865"/>
    <cellStyle name="Normal 9 3 4 5 2" xfId="5540"/>
    <cellStyle name="Normal 9 3 4 5 2 2" xfId="8890"/>
    <cellStyle name="Normal 9 3 4 5 3" xfId="10565"/>
    <cellStyle name="Normal 9 3 4 5 4" xfId="7215"/>
    <cellStyle name="Normal 9 3 4 6" xfId="4124"/>
    <cellStyle name="Normal 9 3 4 6 2" xfId="5799"/>
    <cellStyle name="Normal 9 3 4 6 2 2" xfId="9149"/>
    <cellStyle name="Normal 9 3 4 6 3" xfId="10824"/>
    <cellStyle name="Normal 9 3 4 6 4" xfId="7474"/>
    <cellStyle name="Normal 9 3 4 7" xfId="4832"/>
    <cellStyle name="Normal 9 3 4 7 2" xfId="8182"/>
    <cellStyle name="Normal 9 3 4 8" xfId="9857"/>
    <cellStyle name="Normal 9 3 4 9" xfId="6507"/>
    <cellStyle name="Normal 9 3 5" xfId="3182"/>
    <cellStyle name="Normal 9 3 5 2" xfId="3300"/>
    <cellStyle name="Normal 9 3 5 2 2" xfId="3536"/>
    <cellStyle name="Normal 9 3 5 2 2 2" xfId="4502"/>
    <cellStyle name="Normal 9 3 5 2 2 2 2" xfId="6177"/>
    <cellStyle name="Normal 9 3 5 2 2 2 2 2" xfId="9527"/>
    <cellStyle name="Normal 9 3 5 2 2 2 3" xfId="11202"/>
    <cellStyle name="Normal 9 3 5 2 2 2 4" xfId="7852"/>
    <cellStyle name="Normal 9 3 5 2 2 3" xfId="5210"/>
    <cellStyle name="Normal 9 3 5 2 2 3 2" xfId="8560"/>
    <cellStyle name="Normal 9 3 5 2 2 4" xfId="10235"/>
    <cellStyle name="Normal 9 3 5 2 2 5" xfId="6885"/>
    <cellStyle name="Normal 9 3 5 2 3" xfId="3771"/>
    <cellStyle name="Normal 9 3 5 2 3 2" xfId="4738"/>
    <cellStyle name="Normal 9 3 5 2 3 2 2" xfId="6413"/>
    <cellStyle name="Normal 9 3 5 2 3 2 2 2" xfId="9763"/>
    <cellStyle name="Normal 9 3 5 2 3 2 3" xfId="11438"/>
    <cellStyle name="Normal 9 3 5 2 3 2 4" xfId="8088"/>
    <cellStyle name="Normal 9 3 5 2 3 3" xfId="5446"/>
    <cellStyle name="Normal 9 3 5 2 3 3 2" xfId="8796"/>
    <cellStyle name="Normal 9 3 5 2 3 4" xfId="10471"/>
    <cellStyle name="Normal 9 3 5 2 3 5" xfId="7121"/>
    <cellStyle name="Normal 9 3 5 2 4" xfId="4007"/>
    <cellStyle name="Normal 9 3 5 2 4 2" xfId="5682"/>
    <cellStyle name="Normal 9 3 5 2 4 2 2" xfId="9032"/>
    <cellStyle name="Normal 9 3 5 2 4 3" xfId="10707"/>
    <cellStyle name="Normal 9 3 5 2 4 4" xfId="7357"/>
    <cellStyle name="Normal 9 3 5 2 5" xfId="4266"/>
    <cellStyle name="Normal 9 3 5 2 5 2" xfId="5941"/>
    <cellStyle name="Normal 9 3 5 2 5 2 2" xfId="9291"/>
    <cellStyle name="Normal 9 3 5 2 5 3" xfId="10966"/>
    <cellStyle name="Normal 9 3 5 2 5 4" xfId="7616"/>
    <cellStyle name="Normal 9 3 5 2 6" xfId="4974"/>
    <cellStyle name="Normal 9 3 5 2 6 2" xfId="8324"/>
    <cellStyle name="Normal 9 3 5 2 7" xfId="9999"/>
    <cellStyle name="Normal 9 3 5 2 8" xfId="6649"/>
    <cellStyle name="Normal 9 3 5 3" xfId="3418"/>
    <cellStyle name="Normal 9 3 5 3 2" xfId="4384"/>
    <cellStyle name="Normal 9 3 5 3 2 2" xfId="6059"/>
    <cellStyle name="Normal 9 3 5 3 2 2 2" xfId="9409"/>
    <cellStyle name="Normal 9 3 5 3 2 3" xfId="11084"/>
    <cellStyle name="Normal 9 3 5 3 2 4" xfId="7734"/>
    <cellStyle name="Normal 9 3 5 3 3" xfId="5092"/>
    <cellStyle name="Normal 9 3 5 3 3 2" xfId="8442"/>
    <cellStyle name="Normal 9 3 5 3 4" xfId="10117"/>
    <cellStyle name="Normal 9 3 5 3 5" xfId="6767"/>
    <cellStyle name="Normal 9 3 5 4" xfId="3653"/>
    <cellStyle name="Normal 9 3 5 4 2" xfId="4620"/>
    <cellStyle name="Normal 9 3 5 4 2 2" xfId="6295"/>
    <cellStyle name="Normal 9 3 5 4 2 2 2" xfId="9645"/>
    <cellStyle name="Normal 9 3 5 4 2 3" xfId="11320"/>
    <cellStyle name="Normal 9 3 5 4 2 4" xfId="7970"/>
    <cellStyle name="Normal 9 3 5 4 3" xfId="5328"/>
    <cellStyle name="Normal 9 3 5 4 3 2" xfId="8678"/>
    <cellStyle name="Normal 9 3 5 4 4" xfId="10353"/>
    <cellStyle name="Normal 9 3 5 4 5" xfId="7003"/>
    <cellStyle name="Normal 9 3 5 5" xfId="3889"/>
    <cellStyle name="Normal 9 3 5 5 2" xfId="5564"/>
    <cellStyle name="Normal 9 3 5 5 2 2" xfId="8914"/>
    <cellStyle name="Normal 9 3 5 5 3" xfId="10589"/>
    <cellStyle name="Normal 9 3 5 5 4" xfId="7239"/>
    <cellStyle name="Normal 9 3 5 6" xfId="4148"/>
    <cellStyle name="Normal 9 3 5 6 2" xfId="5823"/>
    <cellStyle name="Normal 9 3 5 6 2 2" xfId="9173"/>
    <cellStyle name="Normal 9 3 5 6 3" xfId="10848"/>
    <cellStyle name="Normal 9 3 5 6 4" xfId="7498"/>
    <cellStyle name="Normal 9 3 5 7" xfId="4856"/>
    <cellStyle name="Normal 9 3 5 7 2" xfId="8206"/>
    <cellStyle name="Normal 9 3 5 8" xfId="9881"/>
    <cellStyle name="Normal 9 3 5 9" xfId="6531"/>
    <cellStyle name="Normal 9 3 6" xfId="3206"/>
    <cellStyle name="Normal 9 3 6 2" xfId="3442"/>
    <cellStyle name="Normal 9 3 6 2 2" xfId="4408"/>
    <cellStyle name="Normal 9 3 6 2 2 2" xfId="6083"/>
    <cellStyle name="Normal 9 3 6 2 2 2 2" xfId="9433"/>
    <cellStyle name="Normal 9 3 6 2 2 3" xfId="11108"/>
    <cellStyle name="Normal 9 3 6 2 2 4" xfId="7758"/>
    <cellStyle name="Normal 9 3 6 2 3" xfId="5116"/>
    <cellStyle name="Normal 9 3 6 2 3 2" xfId="8466"/>
    <cellStyle name="Normal 9 3 6 2 4" xfId="10141"/>
    <cellStyle name="Normal 9 3 6 2 5" xfId="6791"/>
    <cellStyle name="Normal 9 3 6 3" xfId="3677"/>
    <cellStyle name="Normal 9 3 6 3 2" xfId="4644"/>
    <cellStyle name="Normal 9 3 6 3 2 2" xfId="6319"/>
    <cellStyle name="Normal 9 3 6 3 2 2 2" xfId="9669"/>
    <cellStyle name="Normal 9 3 6 3 2 3" xfId="11344"/>
    <cellStyle name="Normal 9 3 6 3 2 4" xfId="7994"/>
    <cellStyle name="Normal 9 3 6 3 3" xfId="5352"/>
    <cellStyle name="Normal 9 3 6 3 3 2" xfId="8702"/>
    <cellStyle name="Normal 9 3 6 3 4" xfId="10377"/>
    <cellStyle name="Normal 9 3 6 3 5" xfId="7027"/>
    <cellStyle name="Normal 9 3 6 4" xfId="3913"/>
    <cellStyle name="Normal 9 3 6 4 2" xfId="5588"/>
    <cellStyle name="Normal 9 3 6 4 2 2" xfId="8938"/>
    <cellStyle name="Normal 9 3 6 4 3" xfId="10613"/>
    <cellStyle name="Normal 9 3 6 4 4" xfId="7263"/>
    <cellStyle name="Normal 9 3 6 5" xfId="4172"/>
    <cellStyle name="Normal 9 3 6 5 2" xfId="5847"/>
    <cellStyle name="Normal 9 3 6 5 2 2" xfId="9197"/>
    <cellStyle name="Normal 9 3 6 5 3" xfId="10872"/>
    <cellStyle name="Normal 9 3 6 5 4" xfId="7522"/>
    <cellStyle name="Normal 9 3 6 6" xfId="4880"/>
    <cellStyle name="Normal 9 3 6 6 2" xfId="8230"/>
    <cellStyle name="Normal 9 3 6 7" xfId="9905"/>
    <cellStyle name="Normal 9 3 6 8" xfId="6555"/>
    <cellStyle name="Normal 9 3 7" xfId="3324"/>
    <cellStyle name="Normal 9 3 7 2" xfId="4290"/>
    <cellStyle name="Normal 9 3 7 2 2" xfId="5965"/>
    <cellStyle name="Normal 9 3 7 2 2 2" xfId="9315"/>
    <cellStyle name="Normal 9 3 7 2 3" xfId="10990"/>
    <cellStyle name="Normal 9 3 7 2 4" xfId="7640"/>
    <cellStyle name="Normal 9 3 7 3" xfId="4998"/>
    <cellStyle name="Normal 9 3 7 3 2" xfId="8348"/>
    <cellStyle name="Normal 9 3 7 4" xfId="10023"/>
    <cellStyle name="Normal 9 3 7 5" xfId="6673"/>
    <cellStyle name="Normal 9 3 8" xfId="3559"/>
    <cellStyle name="Normal 9 3 8 2" xfId="4526"/>
    <cellStyle name="Normal 9 3 8 2 2" xfId="6201"/>
    <cellStyle name="Normal 9 3 8 2 2 2" xfId="9551"/>
    <cellStyle name="Normal 9 3 8 2 3" xfId="11226"/>
    <cellStyle name="Normal 9 3 8 2 4" xfId="7876"/>
    <cellStyle name="Normal 9 3 8 3" xfId="5234"/>
    <cellStyle name="Normal 9 3 8 3 2" xfId="8584"/>
    <cellStyle name="Normal 9 3 8 4" xfId="10259"/>
    <cellStyle name="Normal 9 3 8 5" xfId="6909"/>
    <cellStyle name="Normal 9 3 9" xfId="3795"/>
    <cellStyle name="Normal 9 3 9 2" xfId="4054"/>
    <cellStyle name="Normal 9 3 9 2 2" xfId="5729"/>
    <cellStyle name="Normal 9 3 9 2 2 2" xfId="9079"/>
    <cellStyle name="Normal 9 3 9 2 3" xfId="10754"/>
    <cellStyle name="Normal 9 3 9 2 4" xfId="7404"/>
    <cellStyle name="Normal 9 3 9 3" xfId="5470"/>
    <cellStyle name="Normal 9 3 9 3 2" xfId="8820"/>
    <cellStyle name="Normal 9 3 9 4" xfId="10495"/>
    <cellStyle name="Normal 9 3 9 5" xfId="7145"/>
    <cellStyle name="Normal 9 4" xfId="2169"/>
    <cellStyle name="Normal 9 4 2" xfId="2671"/>
    <cellStyle name="Normal 9 5" xfId="297"/>
    <cellStyle name="Normal_Sheet1" xfId="18"/>
    <cellStyle name="Normale 2" xfId="199"/>
    <cellStyle name="Normale 2 2" xfId="328"/>
    <cellStyle name="Normale 2 2 2" xfId="2174"/>
    <cellStyle name="Normale 2 2 2 2" xfId="2672"/>
    <cellStyle name="Normale 2 2 3" xfId="2673"/>
    <cellStyle name="Normale 2 2 4" xfId="12108"/>
    <cellStyle name="Normale 2 2 4 2" xfId="12109"/>
    <cellStyle name="Normale 2 2 5" xfId="12110"/>
    <cellStyle name="Normale 2 3" xfId="2175"/>
    <cellStyle name="Normale 2 3 2" xfId="2674"/>
    <cellStyle name="Normale 2 4" xfId="2173"/>
    <cellStyle name="Normale 2 5" xfId="2675"/>
    <cellStyle name="Normale 2 6" xfId="2676"/>
    <cellStyle name="Normale 2 7" xfId="12111"/>
    <cellStyle name="Normale 2 7 2" xfId="12112"/>
    <cellStyle name="Normale 2 8" xfId="12113"/>
    <cellStyle name="Normale 3" xfId="200"/>
    <cellStyle name="Normale 3 2" xfId="329"/>
    <cellStyle name="Normale 3 2 2" xfId="2177"/>
    <cellStyle name="Normale 3 2 2 2" xfId="2677"/>
    <cellStyle name="Normale 3 2 3" xfId="2678"/>
    <cellStyle name="Normale 3 2 4" xfId="12114"/>
    <cellStyle name="Normale 3 2 4 2" xfId="12115"/>
    <cellStyle name="Normale 3 2 5" xfId="12116"/>
    <cellStyle name="Normale 3 3" xfId="2178"/>
    <cellStyle name="Normale 3 3 2" xfId="2679"/>
    <cellStyle name="Normale 3 4" xfId="2176"/>
    <cellStyle name="Normale 3 5" xfId="2680"/>
    <cellStyle name="Normale 3 6" xfId="2681"/>
    <cellStyle name="Normale 3 7" xfId="12117"/>
    <cellStyle name="Normale 3 7 2" xfId="12118"/>
    <cellStyle name="Normale 3 8" xfId="12119"/>
    <cellStyle name="Normale 4" xfId="201"/>
    <cellStyle name="Normale 4 2" xfId="2179"/>
    <cellStyle name="Normale 4 2 2" xfId="2682"/>
    <cellStyle name="Normale 4 2 3" xfId="2683"/>
    <cellStyle name="Normale 6" xfId="202"/>
    <cellStyle name="Normale 6 2" xfId="203"/>
    <cellStyle name="Normale 6 2 2" xfId="2180"/>
    <cellStyle name="Normale 6 2 2 2" xfId="2684"/>
    <cellStyle name="Normale 6 2 2 3" xfId="2685"/>
    <cellStyle name="Normale 6 3" xfId="2181"/>
    <cellStyle name="Normale 6 3 2" xfId="2686"/>
    <cellStyle name="Normale 6 3 3" xfId="2687"/>
    <cellStyle name="Normale_classe A" xfId="204"/>
    <cellStyle name="Normalno 2" xfId="266"/>
    <cellStyle name="Normalno 2 2" xfId="372"/>
    <cellStyle name="Normalno 2 2 2" xfId="2785"/>
    <cellStyle name="Normalno 2 2 3" xfId="12120"/>
    <cellStyle name="Normalno 2 3" xfId="2760"/>
    <cellStyle name="Normalno 2 4" xfId="12121"/>
    <cellStyle name="Normalno 2 5" xfId="12122"/>
    <cellStyle name="Nota" xfId="205"/>
    <cellStyle name="Nota 10" xfId="206"/>
    <cellStyle name="Nota 10 2" xfId="2183"/>
    <cellStyle name="Nota 10 3" xfId="2688"/>
    <cellStyle name="Nota 10 4" xfId="12123"/>
    <cellStyle name="Nota 10 4 2" xfId="12124"/>
    <cellStyle name="Nota 10 5" xfId="12125"/>
    <cellStyle name="Nota 11" xfId="207"/>
    <cellStyle name="Nota 11 2" xfId="2184"/>
    <cellStyle name="Nota 11 3" xfId="2689"/>
    <cellStyle name="Nota 11 4" xfId="12126"/>
    <cellStyle name="Nota 11 4 2" xfId="12127"/>
    <cellStyle name="Nota 11 5" xfId="12128"/>
    <cellStyle name="Nota 12" xfId="208"/>
    <cellStyle name="Nota 12 2" xfId="2185"/>
    <cellStyle name="Nota 12 3" xfId="2690"/>
    <cellStyle name="Nota 12 4" xfId="12129"/>
    <cellStyle name="Nota 12 4 2" xfId="12130"/>
    <cellStyle name="Nota 12 5" xfId="12131"/>
    <cellStyle name="Nota 13" xfId="209"/>
    <cellStyle name="Nota 13 2" xfId="2186"/>
    <cellStyle name="Nota 13 3" xfId="2691"/>
    <cellStyle name="Nota 13 4" xfId="12132"/>
    <cellStyle name="Nota 13 4 2" xfId="12133"/>
    <cellStyle name="Nota 13 5" xfId="12134"/>
    <cellStyle name="Nota 14" xfId="210"/>
    <cellStyle name="Nota 14 2" xfId="2187"/>
    <cellStyle name="Nota 14 3" xfId="2692"/>
    <cellStyle name="Nota 14 4" xfId="12135"/>
    <cellStyle name="Nota 14 4 2" xfId="12136"/>
    <cellStyle name="Nota 14 5" xfId="12137"/>
    <cellStyle name="Nota 15" xfId="211"/>
    <cellStyle name="Nota 15 2" xfId="2188"/>
    <cellStyle name="Nota 15 3" xfId="2693"/>
    <cellStyle name="Nota 15 4" xfId="12138"/>
    <cellStyle name="Nota 15 4 2" xfId="12139"/>
    <cellStyle name="Nota 15 5" xfId="12140"/>
    <cellStyle name="Nota 16" xfId="330"/>
    <cellStyle name="Nota 16 2" xfId="2189"/>
    <cellStyle name="Nota 16 2 2" xfId="2694"/>
    <cellStyle name="Nota 16 3" xfId="2695"/>
    <cellStyle name="Nota 16 4" xfId="12141"/>
    <cellStyle name="Nota 16 4 2" xfId="12142"/>
    <cellStyle name="Nota 16 5" xfId="12143"/>
    <cellStyle name="Nota 17" xfId="2190"/>
    <cellStyle name="Nota 17 2" xfId="2696"/>
    <cellStyle name="Nota 18" xfId="2182"/>
    <cellStyle name="Nota 19" xfId="2697"/>
    <cellStyle name="Nota 2" xfId="212"/>
    <cellStyle name="Nota 2 2" xfId="2191"/>
    <cellStyle name="Nota 2 3" xfId="2698"/>
    <cellStyle name="Nota 2 4" xfId="12144"/>
    <cellStyle name="Nota 2 4 2" xfId="12145"/>
    <cellStyle name="Nota 2 5" xfId="12146"/>
    <cellStyle name="Nota 20" xfId="2699"/>
    <cellStyle name="Nota 21" xfId="12147"/>
    <cellStyle name="Nota 21 2" xfId="12148"/>
    <cellStyle name="Nota 22" xfId="12149"/>
    <cellStyle name="Nota 3" xfId="213"/>
    <cellStyle name="Nota 3 2" xfId="2192"/>
    <cellStyle name="Nota 3 3" xfId="2700"/>
    <cellStyle name="Nota 3 4" xfId="12150"/>
    <cellStyle name="Nota 3 4 2" xfId="12151"/>
    <cellStyle name="Nota 3 5" xfId="12152"/>
    <cellStyle name="Nota 4" xfId="214"/>
    <cellStyle name="Nota 4 2" xfId="2193"/>
    <cellStyle name="Nota 4 3" xfId="2701"/>
    <cellStyle name="Nota 4 4" xfId="12153"/>
    <cellStyle name="Nota 4 4 2" xfId="12154"/>
    <cellStyle name="Nota 4 5" xfId="12155"/>
    <cellStyle name="Nota 5" xfId="215"/>
    <cellStyle name="Nota 5 2" xfId="2194"/>
    <cellStyle name="Nota 5 3" xfId="2702"/>
    <cellStyle name="Nota 5 4" xfId="12156"/>
    <cellStyle name="Nota 5 4 2" xfId="12157"/>
    <cellStyle name="Nota 5 5" xfId="12158"/>
    <cellStyle name="Nota 6" xfId="216"/>
    <cellStyle name="Nota 6 2" xfId="2195"/>
    <cellStyle name="Nota 6 3" xfId="2703"/>
    <cellStyle name="Nota 6 4" xfId="12159"/>
    <cellStyle name="Nota 6 4 2" xfId="12160"/>
    <cellStyle name="Nota 6 5" xfId="12161"/>
    <cellStyle name="Nota 7" xfId="217"/>
    <cellStyle name="Nota 7 2" xfId="2196"/>
    <cellStyle name="Nota 7 3" xfId="2704"/>
    <cellStyle name="Nota 7 4" xfId="12162"/>
    <cellStyle name="Nota 7 4 2" xfId="12163"/>
    <cellStyle name="Nota 7 5" xfId="12164"/>
    <cellStyle name="Nota 8" xfId="218"/>
    <cellStyle name="Nota 8 2" xfId="2197"/>
    <cellStyle name="Nota 8 3" xfId="2705"/>
    <cellStyle name="Nota 8 4" xfId="12165"/>
    <cellStyle name="Nota 8 4 2" xfId="12166"/>
    <cellStyle name="Nota 8 5" xfId="12167"/>
    <cellStyle name="Nota 9" xfId="219"/>
    <cellStyle name="Nota 9 2" xfId="2198"/>
    <cellStyle name="Nota 9 3" xfId="2706"/>
    <cellStyle name="Nota 9 4" xfId="12168"/>
    <cellStyle name="Nota 9 4 2" xfId="12169"/>
    <cellStyle name="Nota 9 5" xfId="12170"/>
    <cellStyle name="Note 2" xfId="249"/>
    <cellStyle name="Note 2 10" xfId="2200"/>
    <cellStyle name="Note 2 11" xfId="2201"/>
    <cellStyle name="Note 2 12" xfId="2202"/>
    <cellStyle name="Note 2 13" xfId="2203"/>
    <cellStyle name="Note 2 14" xfId="2204"/>
    <cellStyle name="Note 2 15" xfId="2205"/>
    <cellStyle name="Note 2 16" xfId="2206"/>
    <cellStyle name="Note 2 17" xfId="2207"/>
    <cellStyle name="Note 2 18" xfId="2199"/>
    <cellStyle name="Note 2 19" xfId="2707"/>
    <cellStyle name="Note 2 2" xfId="371"/>
    <cellStyle name="Note 2 2 2" xfId="2208"/>
    <cellStyle name="Note 2 2 3" xfId="2784"/>
    <cellStyle name="Note 2 2 3 2" xfId="12173"/>
    <cellStyle name="Note 2 2 3 2 2" xfId="12174"/>
    <cellStyle name="Note 2 2 3 3" xfId="12175"/>
    <cellStyle name="Note 2 2 3 4" xfId="12176"/>
    <cellStyle name="Note 2 2 3 5" xfId="12172"/>
    <cellStyle name="Note 2 2 4" xfId="12177"/>
    <cellStyle name="Note 2 2 4 2" xfId="12178"/>
    <cellStyle name="Note 2 2 5" xfId="12179"/>
    <cellStyle name="Note 2 2 5 2" xfId="12180"/>
    <cellStyle name="Note 2 2 6" xfId="12181"/>
    <cellStyle name="Note 2 2 7" xfId="12182"/>
    <cellStyle name="Note 2 2 8" xfId="12171"/>
    <cellStyle name="Note 2 20" xfId="2759"/>
    <cellStyle name="Note 2 20 2" xfId="12184"/>
    <cellStyle name="Note 2 20 2 2" xfId="12185"/>
    <cellStyle name="Note 2 20 3" xfId="12186"/>
    <cellStyle name="Note 2 20 4" xfId="12187"/>
    <cellStyle name="Note 2 20 5" xfId="12183"/>
    <cellStyle name="Note 2 21" xfId="12188"/>
    <cellStyle name="Note 2 21 2" xfId="12189"/>
    <cellStyle name="Note 2 22" xfId="12190"/>
    <cellStyle name="Note 2 22 2" xfId="12191"/>
    <cellStyle name="Note 2 23" xfId="12192"/>
    <cellStyle name="Note 2 3" xfId="2209"/>
    <cellStyle name="Note 2 4" xfId="2210"/>
    <cellStyle name="Note 2 5" xfId="2211"/>
    <cellStyle name="Note 2 6" xfId="2212"/>
    <cellStyle name="Note 2 7" xfId="2213"/>
    <cellStyle name="Note 2 8" xfId="2214"/>
    <cellStyle name="Note 2 9" xfId="2215"/>
    <cellStyle name="Note 3 10" xfId="2216"/>
    <cellStyle name="Note 3 11" xfId="2217"/>
    <cellStyle name="Note 3 12" xfId="2218"/>
    <cellStyle name="Note 3 13" xfId="2219"/>
    <cellStyle name="Note 3 14" xfId="2220"/>
    <cellStyle name="Note 3 15" xfId="2221"/>
    <cellStyle name="Note 3 16" xfId="2222"/>
    <cellStyle name="Note 3 17" xfId="2223"/>
    <cellStyle name="Note 3 2" xfId="2224"/>
    <cellStyle name="Note 3 3" xfId="2225"/>
    <cellStyle name="Note 3 4" xfId="2226"/>
    <cellStyle name="Note 3 5" xfId="2227"/>
    <cellStyle name="Note 3 6" xfId="2228"/>
    <cellStyle name="Note 3 7" xfId="2229"/>
    <cellStyle name="Note 3 8" xfId="2230"/>
    <cellStyle name="Note 3 9" xfId="2231"/>
    <cellStyle name="Output 2" xfId="60"/>
    <cellStyle name="Output 2 10" xfId="2232"/>
    <cellStyle name="Output 2 11" xfId="2233"/>
    <cellStyle name="Output 2 12" xfId="2234"/>
    <cellStyle name="Output 2 13" xfId="2235"/>
    <cellStyle name="Output 2 14" xfId="2236"/>
    <cellStyle name="Output 2 15" xfId="2237"/>
    <cellStyle name="Output 2 16" xfId="2238"/>
    <cellStyle name="Output 2 17" xfId="2239"/>
    <cellStyle name="Output 2 18" xfId="2240"/>
    <cellStyle name="Output 2 19" xfId="2241"/>
    <cellStyle name="Output 2 2" xfId="2242"/>
    <cellStyle name="Output 2 20" xfId="2708"/>
    <cellStyle name="Output 2 3" xfId="2243"/>
    <cellStyle name="Output 2 4" xfId="2244"/>
    <cellStyle name="Output 2 5" xfId="2245"/>
    <cellStyle name="Output 2 6" xfId="2246"/>
    <cellStyle name="Output 2 7" xfId="2247"/>
    <cellStyle name="Output 2 8" xfId="2248"/>
    <cellStyle name="Output 2 9" xfId="2249"/>
    <cellStyle name="Output 3" xfId="257"/>
    <cellStyle name="Output 3 10" xfId="2250"/>
    <cellStyle name="Output 3 11" xfId="2251"/>
    <cellStyle name="Output 3 12" xfId="2252"/>
    <cellStyle name="Output 3 13" xfId="2253"/>
    <cellStyle name="Output 3 14" xfId="2254"/>
    <cellStyle name="Output 3 15" xfId="2255"/>
    <cellStyle name="Output 3 16" xfId="2256"/>
    <cellStyle name="Output 3 17" xfId="2257"/>
    <cellStyle name="Output 3 2" xfId="2258"/>
    <cellStyle name="Output 3 3" xfId="2259"/>
    <cellStyle name="Output 3 4" xfId="2260"/>
    <cellStyle name="Output 3 5" xfId="2261"/>
    <cellStyle name="Output 3 6" xfId="2262"/>
    <cellStyle name="Output 3 7" xfId="2263"/>
    <cellStyle name="Output 3 8" xfId="2264"/>
    <cellStyle name="Output 3 9" xfId="2265"/>
    <cellStyle name="Output 4" xfId="299"/>
    <cellStyle name="Percent" xfId="1" builtinId="5"/>
    <cellStyle name="Percent 2" xfId="281"/>
    <cellStyle name="Percent 2 10" xfId="2267"/>
    <cellStyle name="Percent 2 11" xfId="2268"/>
    <cellStyle name="Percent 2 12" xfId="19"/>
    <cellStyle name="Percent 2 12 2" xfId="20"/>
    <cellStyle name="Percent 2 12 3" xfId="2269"/>
    <cellStyle name="Percent 2 13" xfId="350"/>
    <cellStyle name="Percent 2 13 2" xfId="5"/>
    <cellStyle name="Percent 2 13 2 10" xfId="4033"/>
    <cellStyle name="Percent 2 13 2 10 2" xfId="5708"/>
    <cellStyle name="Percent 2 13 2 10 2 2" xfId="9058"/>
    <cellStyle name="Percent 2 13 2 10 3" xfId="10733"/>
    <cellStyle name="Percent 2 13 2 10 4" xfId="7383"/>
    <cellStyle name="Percent 2 13 2 11" xfId="4764"/>
    <cellStyle name="Percent 2 13 2 11 2" xfId="8114"/>
    <cellStyle name="Percent 2 13 2 12" xfId="9789"/>
    <cellStyle name="Percent 2 13 2 13" xfId="6439"/>
    <cellStyle name="Percent 2 13 2 14" xfId="12245"/>
    <cellStyle name="Percent 2 13 2 2" xfId="15"/>
    <cellStyle name="Percent 2 13 2 2 10" xfId="3114"/>
    <cellStyle name="Percent 2 13 2 2 2" xfId="3231"/>
    <cellStyle name="Percent 2 13 2 2 2 2" xfId="3467"/>
    <cellStyle name="Percent 2 13 2 2 2 2 2" xfId="4433"/>
    <cellStyle name="Percent 2 13 2 2 2 2 2 2" xfId="6108"/>
    <cellStyle name="Percent 2 13 2 2 2 2 2 2 2" xfId="9458"/>
    <cellStyle name="Percent 2 13 2 2 2 2 2 3" xfId="11133"/>
    <cellStyle name="Percent 2 13 2 2 2 2 2 4" xfId="7783"/>
    <cellStyle name="Percent 2 13 2 2 2 2 3" xfId="5141"/>
    <cellStyle name="Percent 2 13 2 2 2 2 3 2" xfId="8491"/>
    <cellStyle name="Percent 2 13 2 2 2 2 4" xfId="10166"/>
    <cellStyle name="Percent 2 13 2 2 2 2 5" xfId="6816"/>
    <cellStyle name="Percent 2 13 2 2 2 3" xfId="3702"/>
    <cellStyle name="Percent 2 13 2 2 2 3 2" xfId="4669"/>
    <cellStyle name="Percent 2 13 2 2 2 3 2 2" xfId="6344"/>
    <cellStyle name="Percent 2 13 2 2 2 3 2 2 2" xfId="9694"/>
    <cellStyle name="Percent 2 13 2 2 2 3 2 3" xfId="11369"/>
    <cellStyle name="Percent 2 13 2 2 2 3 2 4" xfId="8019"/>
    <cellStyle name="Percent 2 13 2 2 2 3 3" xfId="5377"/>
    <cellStyle name="Percent 2 13 2 2 2 3 3 2" xfId="8727"/>
    <cellStyle name="Percent 2 13 2 2 2 3 4" xfId="10402"/>
    <cellStyle name="Percent 2 13 2 2 2 3 5" xfId="7052"/>
    <cellStyle name="Percent 2 13 2 2 2 4" xfId="3938"/>
    <cellStyle name="Percent 2 13 2 2 2 4 2" xfId="5613"/>
    <cellStyle name="Percent 2 13 2 2 2 4 2 2" xfId="8963"/>
    <cellStyle name="Percent 2 13 2 2 2 4 3" xfId="10638"/>
    <cellStyle name="Percent 2 13 2 2 2 4 4" xfId="7288"/>
    <cellStyle name="Percent 2 13 2 2 2 5" xfId="4197"/>
    <cellStyle name="Percent 2 13 2 2 2 5 2" xfId="5872"/>
    <cellStyle name="Percent 2 13 2 2 2 5 2 2" xfId="9222"/>
    <cellStyle name="Percent 2 13 2 2 2 5 3" xfId="10897"/>
    <cellStyle name="Percent 2 13 2 2 2 5 4" xfId="7547"/>
    <cellStyle name="Percent 2 13 2 2 2 6" xfId="4905"/>
    <cellStyle name="Percent 2 13 2 2 2 6 2" xfId="8255"/>
    <cellStyle name="Percent 2 13 2 2 2 7" xfId="9930"/>
    <cellStyle name="Percent 2 13 2 2 2 8" xfId="6580"/>
    <cellStyle name="Percent 2 13 2 2 3" xfId="3349"/>
    <cellStyle name="Percent 2 13 2 2 3 2" xfId="4315"/>
    <cellStyle name="Percent 2 13 2 2 3 2 2" xfId="5990"/>
    <cellStyle name="Percent 2 13 2 2 3 2 2 2" xfId="9340"/>
    <cellStyle name="Percent 2 13 2 2 3 2 3" xfId="11015"/>
    <cellStyle name="Percent 2 13 2 2 3 2 4" xfId="7665"/>
    <cellStyle name="Percent 2 13 2 2 3 3" xfId="5023"/>
    <cellStyle name="Percent 2 13 2 2 3 3 2" xfId="8373"/>
    <cellStyle name="Percent 2 13 2 2 3 4" xfId="10048"/>
    <cellStyle name="Percent 2 13 2 2 3 5" xfId="6698"/>
    <cellStyle name="Percent 2 13 2 2 4" xfId="3584"/>
    <cellStyle name="Percent 2 13 2 2 4 2" xfId="4551"/>
    <cellStyle name="Percent 2 13 2 2 4 2 2" xfId="6226"/>
    <cellStyle name="Percent 2 13 2 2 4 2 2 2" xfId="9576"/>
    <cellStyle name="Percent 2 13 2 2 4 2 3" xfId="11251"/>
    <cellStyle name="Percent 2 13 2 2 4 2 4" xfId="7901"/>
    <cellStyle name="Percent 2 13 2 2 4 3" xfId="5259"/>
    <cellStyle name="Percent 2 13 2 2 4 3 2" xfId="8609"/>
    <cellStyle name="Percent 2 13 2 2 4 4" xfId="10284"/>
    <cellStyle name="Percent 2 13 2 2 4 5" xfId="6934"/>
    <cellStyle name="Percent 2 13 2 2 5" xfId="3820"/>
    <cellStyle name="Percent 2 13 2 2 5 2" xfId="5495"/>
    <cellStyle name="Percent 2 13 2 2 5 2 2" xfId="8845"/>
    <cellStyle name="Percent 2 13 2 2 5 3" xfId="10520"/>
    <cellStyle name="Percent 2 13 2 2 5 4" xfId="7170"/>
    <cellStyle name="Percent 2 13 2 2 6" xfId="4079"/>
    <cellStyle name="Percent 2 13 2 2 6 2" xfId="5754"/>
    <cellStyle name="Percent 2 13 2 2 6 2 2" xfId="9104"/>
    <cellStyle name="Percent 2 13 2 2 6 3" xfId="10779"/>
    <cellStyle name="Percent 2 13 2 2 6 4" xfId="7429"/>
    <cellStyle name="Percent 2 13 2 2 7" xfId="4787"/>
    <cellStyle name="Percent 2 13 2 2 7 2" xfId="8137"/>
    <cellStyle name="Percent 2 13 2 2 8" xfId="9812"/>
    <cellStyle name="Percent 2 13 2 2 9" xfId="6462"/>
    <cellStyle name="Percent 2 13 2 3" xfId="2270"/>
    <cellStyle name="Percent 2 13 2 3 10" xfId="12277"/>
    <cellStyle name="Percent 2 13 2 3 11" xfId="12193"/>
    <cellStyle name="Percent 2 13 2 3 2" xfId="3254"/>
    <cellStyle name="Percent 2 13 2 3 2 10" xfId="12194"/>
    <cellStyle name="Percent 2 13 2 3 2 2" xfId="3490"/>
    <cellStyle name="Percent 2 13 2 3 2 2 2" xfId="4456"/>
    <cellStyle name="Percent 2 13 2 3 2 2 2 2" xfId="6131"/>
    <cellStyle name="Percent 2 13 2 3 2 2 2 2 2" xfId="9481"/>
    <cellStyle name="Percent 2 13 2 3 2 2 2 3" xfId="11156"/>
    <cellStyle name="Percent 2 13 2 3 2 2 2 4" xfId="7806"/>
    <cellStyle name="Percent 2 13 2 3 2 2 3" xfId="5164"/>
    <cellStyle name="Percent 2 13 2 3 2 2 3 2" xfId="8514"/>
    <cellStyle name="Percent 2 13 2 3 2 2 4" xfId="10189"/>
    <cellStyle name="Percent 2 13 2 3 2 2 5" xfId="6839"/>
    <cellStyle name="Percent 2 13 2 3 2 3" xfId="3725"/>
    <cellStyle name="Percent 2 13 2 3 2 3 2" xfId="4692"/>
    <cellStyle name="Percent 2 13 2 3 2 3 2 2" xfId="6367"/>
    <cellStyle name="Percent 2 13 2 3 2 3 2 2 2" xfId="9717"/>
    <cellStyle name="Percent 2 13 2 3 2 3 2 3" xfId="11392"/>
    <cellStyle name="Percent 2 13 2 3 2 3 2 4" xfId="8042"/>
    <cellStyle name="Percent 2 13 2 3 2 3 3" xfId="5400"/>
    <cellStyle name="Percent 2 13 2 3 2 3 3 2" xfId="8750"/>
    <cellStyle name="Percent 2 13 2 3 2 3 4" xfId="10425"/>
    <cellStyle name="Percent 2 13 2 3 2 3 5" xfId="7075"/>
    <cellStyle name="Percent 2 13 2 3 2 4" xfId="3961"/>
    <cellStyle name="Percent 2 13 2 3 2 4 2" xfId="5636"/>
    <cellStyle name="Percent 2 13 2 3 2 4 2 2" xfId="8986"/>
    <cellStyle name="Percent 2 13 2 3 2 4 3" xfId="10661"/>
    <cellStyle name="Percent 2 13 2 3 2 4 4" xfId="7311"/>
    <cellStyle name="Percent 2 13 2 3 2 5" xfId="4220"/>
    <cellStyle name="Percent 2 13 2 3 2 5 2" xfId="5895"/>
    <cellStyle name="Percent 2 13 2 3 2 5 2 2" xfId="9245"/>
    <cellStyle name="Percent 2 13 2 3 2 5 3" xfId="10920"/>
    <cellStyle name="Percent 2 13 2 3 2 5 4" xfId="7570"/>
    <cellStyle name="Percent 2 13 2 3 2 6" xfId="4928"/>
    <cellStyle name="Percent 2 13 2 3 2 6 2" xfId="8278"/>
    <cellStyle name="Percent 2 13 2 3 2 7" xfId="9953"/>
    <cellStyle name="Percent 2 13 2 3 2 8" xfId="6603"/>
    <cellStyle name="Percent 2 13 2 3 2 9" xfId="12279"/>
    <cellStyle name="Percent 2 13 2 3 3" xfId="3372"/>
    <cellStyle name="Percent 2 13 2 3 3 2" xfId="4338"/>
    <cellStyle name="Percent 2 13 2 3 3 2 2" xfId="6013"/>
    <cellStyle name="Percent 2 13 2 3 3 2 2 2" xfId="9363"/>
    <cellStyle name="Percent 2 13 2 3 3 2 3" xfId="11038"/>
    <cellStyle name="Percent 2 13 2 3 3 2 4" xfId="7688"/>
    <cellStyle name="Percent 2 13 2 3 3 3" xfId="5046"/>
    <cellStyle name="Percent 2 13 2 3 3 3 2" xfId="8396"/>
    <cellStyle name="Percent 2 13 2 3 3 4" xfId="10071"/>
    <cellStyle name="Percent 2 13 2 3 3 5" xfId="6721"/>
    <cellStyle name="Percent 2 13 2 3 4" xfId="3607"/>
    <cellStyle name="Percent 2 13 2 3 4 2" xfId="4574"/>
    <cellStyle name="Percent 2 13 2 3 4 2 2" xfId="6249"/>
    <cellStyle name="Percent 2 13 2 3 4 2 2 2" xfId="9599"/>
    <cellStyle name="Percent 2 13 2 3 4 2 3" xfId="11274"/>
    <cellStyle name="Percent 2 13 2 3 4 2 4" xfId="7924"/>
    <cellStyle name="Percent 2 13 2 3 4 3" xfId="5282"/>
    <cellStyle name="Percent 2 13 2 3 4 3 2" xfId="8632"/>
    <cellStyle name="Percent 2 13 2 3 4 4" xfId="10307"/>
    <cellStyle name="Percent 2 13 2 3 4 5" xfId="6957"/>
    <cellStyle name="Percent 2 13 2 3 5" xfId="3843"/>
    <cellStyle name="Percent 2 13 2 3 5 2" xfId="5518"/>
    <cellStyle name="Percent 2 13 2 3 5 2 2" xfId="8868"/>
    <cellStyle name="Percent 2 13 2 3 5 3" xfId="10543"/>
    <cellStyle name="Percent 2 13 2 3 5 4" xfId="7193"/>
    <cellStyle name="Percent 2 13 2 3 6" xfId="4102"/>
    <cellStyle name="Percent 2 13 2 3 6 2" xfId="5777"/>
    <cellStyle name="Percent 2 13 2 3 6 2 2" xfId="9127"/>
    <cellStyle name="Percent 2 13 2 3 6 3" xfId="10802"/>
    <cellStyle name="Percent 2 13 2 3 6 4" xfId="7452"/>
    <cellStyle name="Percent 2 13 2 3 7" xfId="4810"/>
    <cellStyle name="Percent 2 13 2 3 7 2" xfId="8160"/>
    <cellStyle name="Percent 2 13 2 3 8" xfId="9835"/>
    <cellStyle name="Percent 2 13 2 3 9" xfId="6485"/>
    <cellStyle name="Percent 2 13 2 4" xfId="3160"/>
    <cellStyle name="Percent 2 13 2 4 10" xfId="12278"/>
    <cellStyle name="Percent 2 13 2 4 11" xfId="12195"/>
    <cellStyle name="Percent 2 13 2 4 2" xfId="3278"/>
    <cellStyle name="Percent 2 13 2 4 2 2" xfId="3514"/>
    <cellStyle name="Percent 2 13 2 4 2 2 2" xfId="4480"/>
    <cellStyle name="Percent 2 13 2 4 2 2 2 2" xfId="6155"/>
    <cellStyle name="Percent 2 13 2 4 2 2 2 2 2" xfId="9505"/>
    <cellStyle name="Percent 2 13 2 4 2 2 2 3" xfId="11180"/>
    <cellStyle name="Percent 2 13 2 4 2 2 2 4" xfId="7830"/>
    <cellStyle name="Percent 2 13 2 4 2 2 3" xfId="5188"/>
    <cellStyle name="Percent 2 13 2 4 2 2 3 2" xfId="8538"/>
    <cellStyle name="Percent 2 13 2 4 2 2 4" xfId="10213"/>
    <cellStyle name="Percent 2 13 2 4 2 2 5" xfId="6863"/>
    <cellStyle name="Percent 2 13 2 4 2 3" xfId="3749"/>
    <cellStyle name="Percent 2 13 2 4 2 3 2" xfId="4716"/>
    <cellStyle name="Percent 2 13 2 4 2 3 2 2" xfId="6391"/>
    <cellStyle name="Percent 2 13 2 4 2 3 2 2 2" xfId="9741"/>
    <cellStyle name="Percent 2 13 2 4 2 3 2 3" xfId="11416"/>
    <cellStyle name="Percent 2 13 2 4 2 3 2 4" xfId="8066"/>
    <cellStyle name="Percent 2 13 2 4 2 3 3" xfId="5424"/>
    <cellStyle name="Percent 2 13 2 4 2 3 3 2" xfId="8774"/>
    <cellStyle name="Percent 2 13 2 4 2 3 4" xfId="10449"/>
    <cellStyle name="Percent 2 13 2 4 2 3 5" xfId="7099"/>
    <cellStyle name="Percent 2 13 2 4 2 4" xfId="3985"/>
    <cellStyle name="Percent 2 13 2 4 2 4 2" xfId="5660"/>
    <cellStyle name="Percent 2 13 2 4 2 4 2 2" xfId="9010"/>
    <cellStyle name="Percent 2 13 2 4 2 4 3" xfId="10685"/>
    <cellStyle name="Percent 2 13 2 4 2 4 4" xfId="7335"/>
    <cellStyle name="Percent 2 13 2 4 2 5" xfId="4244"/>
    <cellStyle name="Percent 2 13 2 4 2 5 2" xfId="5919"/>
    <cellStyle name="Percent 2 13 2 4 2 5 2 2" xfId="9269"/>
    <cellStyle name="Percent 2 13 2 4 2 5 3" xfId="10944"/>
    <cellStyle name="Percent 2 13 2 4 2 5 4" xfId="7594"/>
    <cellStyle name="Percent 2 13 2 4 2 6" xfId="4952"/>
    <cellStyle name="Percent 2 13 2 4 2 6 2" xfId="8302"/>
    <cellStyle name="Percent 2 13 2 4 2 7" xfId="9977"/>
    <cellStyle name="Percent 2 13 2 4 2 8" xfId="6627"/>
    <cellStyle name="Percent 2 13 2 4 3" xfId="3396"/>
    <cellStyle name="Percent 2 13 2 4 3 2" xfId="4362"/>
    <cellStyle name="Percent 2 13 2 4 3 2 2" xfId="6037"/>
    <cellStyle name="Percent 2 13 2 4 3 2 2 2" xfId="9387"/>
    <cellStyle name="Percent 2 13 2 4 3 2 3" xfId="11062"/>
    <cellStyle name="Percent 2 13 2 4 3 2 4" xfId="7712"/>
    <cellStyle name="Percent 2 13 2 4 3 3" xfId="5070"/>
    <cellStyle name="Percent 2 13 2 4 3 3 2" xfId="8420"/>
    <cellStyle name="Percent 2 13 2 4 3 4" xfId="10095"/>
    <cellStyle name="Percent 2 13 2 4 3 5" xfId="6745"/>
    <cellStyle name="Percent 2 13 2 4 4" xfId="3631"/>
    <cellStyle name="Percent 2 13 2 4 4 2" xfId="4598"/>
    <cellStyle name="Percent 2 13 2 4 4 2 2" xfId="6273"/>
    <cellStyle name="Percent 2 13 2 4 4 2 2 2" xfId="9623"/>
    <cellStyle name="Percent 2 13 2 4 4 2 3" xfId="11298"/>
    <cellStyle name="Percent 2 13 2 4 4 2 4" xfId="7948"/>
    <cellStyle name="Percent 2 13 2 4 4 3" xfId="5306"/>
    <cellStyle name="Percent 2 13 2 4 4 3 2" xfId="8656"/>
    <cellStyle name="Percent 2 13 2 4 4 4" xfId="10331"/>
    <cellStyle name="Percent 2 13 2 4 4 5" xfId="6981"/>
    <cellStyle name="Percent 2 13 2 4 5" xfId="3867"/>
    <cellStyle name="Percent 2 13 2 4 5 2" xfId="5542"/>
    <cellStyle name="Percent 2 13 2 4 5 2 2" xfId="8892"/>
    <cellStyle name="Percent 2 13 2 4 5 3" xfId="10567"/>
    <cellStyle name="Percent 2 13 2 4 5 4" xfId="7217"/>
    <cellStyle name="Percent 2 13 2 4 6" xfId="4126"/>
    <cellStyle name="Percent 2 13 2 4 6 2" xfId="5801"/>
    <cellStyle name="Percent 2 13 2 4 6 2 2" xfId="9151"/>
    <cellStyle name="Percent 2 13 2 4 6 3" xfId="10826"/>
    <cellStyle name="Percent 2 13 2 4 6 4" xfId="7476"/>
    <cellStyle name="Percent 2 13 2 4 7" xfId="4834"/>
    <cellStyle name="Percent 2 13 2 4 7 2" xfId="8184"/>
    <cellStyle name="Percent 2 13 2 4 8" xfId="9859"/>
    <cellStyle name="Percent 2 13 2 4 9" xfId="6509"/>
    <cellStyle name="Percent 2 13 2 5" xfId="3184"/>
    <cellStyle name="Percent 2 13 2 5 2" xfId="3302"/>
    <cellStyle name="Percent 2 13 2 5 2 2" xfId="3538"/>
    <cellStyle name="Percent 2 13 2 5 2 2 2" xfId="4504"/>
    <cellStyle name="Percent 2 13 2 5 2 2 2 2" xfId="6179"/>
    <cellStyle name="Percent 2 13 2 5 2 2 2 2 2" xfId="9529"/>
    <cellStyle name="Percent 2 13 2 5 2 2 2 3" xfId="11204"/>
    <cellStyle name="Percent 2 13 2 5 2 2 2 4" xfId="7854"/>
    <cellStyle name="Percent 2 13 2 5 2 2 3" xfId="5212"/>
    <cellStyle name="Percent 2 13 2 5 2 2 3 2" xfId="8562"/>
    <cellStyle name="Percent 2 13 2 5 2 2 4" xfId="10237"/>
    <cellStyle name="Percent 2 13 2 5 2 2 5" xfId="6887"/>
    <cellStyle name="Percent 2 13 2 5 2 3" xfId="3773"/>
    <cellStyle name="Percent 2 13 2 5 2 3 2" xfId="4740"/>
    <cellStyle name="Percent 2 13 2 5 2 3 2 2" xfId="6415"/>
    <cellStyle name="Percent 2 13 2 5 2 3 2 2 2" xfId="9765"/>
    <cellStyle name="Percent 2 13 2 5 2 3 2 3" xfId="11440"/>
    <cellStyle name="Percent 2 13 2 5 2 3 2 4" xfId="8090"/>
    <cellStyle name="Percent 2 13 2 5 2 3 3" xfId="5448"/>
    <cellStyle name="Percent 2 13 2 5 2 3 3 2" xfId="8798"/>
    <cellStyle name="Percent 2 13 2 5 2 3 4" xfId="10473"/>
    <cellStyle name="Percent 2 13 2 5 2 3 5" xfId="7123"/>
    <cellStyle name="Percent 2 13 2 5 2 4" xfId="4009"/>
    <cellStyle name="Percent 2 13 2 5 2 4 2" xfId="5684"/>
    <cellStyle name="Percent 2 13 2 5 2 4 2 2" xfId="9034"/>
    <cellStyle name="Percent 2 13 2 5 2 4 3" xfId="10709"/>
    <cellStyle name="Percent 2 13 2 5 2 4 4" xfId="7359"/>
    <cellStyle name="Percent 2 13 2 5 2 5" xfId="4268"/>
    <cellStyle name="Percent 2 13 2 5 2 5 2" xfId="5943"/>
    <cellStyle name="Percent 2 13 2 5 2 5 2 2" xfId="9293"/>
    <cellStyle name="Percent 2 13 2 5 2 5 3" xfId="10968"/>
    <cellStyle name="Percent 2 13 2 5 2 5 4" xfId="7618"/>
    <cellStyle name="Percent 2 13 2 5 2 6" xfId="4976"/>
    <cellStyle name="Percent 2 13 2 5 2 6 2" xfId="8326"/>
    <cellStyle name="Percent 2 13 2 5 2 7" xfId="10001"/>
    <cellStyle name="Percent 2 13 2 5 2 8" xfId="6651"/>
    <cellStyle name="Percent 2 13 2 5 3" xfId="3420"/>
    <cellStyle name="Percent 2 13 2 5 3 2" xfId="4386"/>
    <cellStyle name="Percent 2 13 2 5 3 2 2" xfId="6061"/>
    <cellStyle name="Percent 2 13 2 5 3 2 2 2" xfId="9411"/>
    <cellStyle name="Percent 2 13 2 5 3 2 3" xfId="11086"/>
    <cellStyle name="Percent 2 13 2 5 3 2 4" xfId="7736"/>
    <cellStyle name="Percent 2 13 2 5 3 3" xfId="5094"/>
    <cellStyle name="Percent 2 13 2 5 3 3 2" xfId="8444"/>
    <cellStyle name="Percent 2 13 2 5 3 4" xfId="10119"/>
    <cellStyle name="Percent 2 13 2 5 3 5" xfId="6769"/>
    <cellStyle name="Percent 2 13 2 5 4" xfId="3655"/>
    <cellStyle name="Percent 2 13 2 5 4 2" xfId="4622"/>
    <cellStyle name="Percent 2 13 2 5 4 2 2" xfId="6297"/>
    <cellStyle name="Percent 2 13 2 5 4 2 2 2" xfId="9647"/>
    <cellStyle name="Percent 2 13 2 5 4 2 3" xfId="11322"/>
    <cellStyle name="Percent 2 13 2 5 4 2 4" xfId="7972"/>
    <cellStyle name="Percent 2 13 2 5 4 3" xfId="5330"/>
    <cellStyle name="Percent 2 13 2 5 4 3 2" xfId="8680"/>
    <cellStyle name="Percent 2 13 2 5 4 4" xfId="10355"/>
    <cellStyle name="Percent 2 13 2 5 4 5" xfId="7005"/>
    <cellStyle name="Percent 2 13 2 5 5" xfId="3891"/>
    <cellStyle name="Percent 2 13 2 5 5 2" xfId="5566"/>
    <cellStyle name="Percent 2 13 2 5 5 2 2" xfId="8916"/>
    <cellStyle name="Percent 2 13 2 5 5 3" xfId="10591"/>
    <cellStyle name="Percent 2 13 2 5 5 4" xfId="7241"/>
    <cellStyle name="Percent 2 13 2 5 6" xfId="4150"/>
    <cellStyle name="Percent 2 13 2 5 6 2" xfId="5825"/>
    <cellStyle name="Percent 2 13 2 5 6 2 2" xfId="9175"/>
    <cellStyle name="Percent 2 13 2 5 6 3" xfId="10850"/>
    <cellStyle name="Percent 2 13 2 5 6 4" xfId="7500"/>
    <cellStyle name="Percent 2 13 2 5 7" xfId="4858"/>
    <cellStyle name="Percent 2 13 2 5 7 2" xfId="8208"/>
    <cellStyle name="Percent 2 13 2 5 8" xfId="9883"/>
    <cellStyle name="Percent 2 13 2 5 9" xfId="6533"/>
    <cellStyle name="Percent 2 13 2 6" xfId="3208"/>
    <cellStyle name="Percent 2 13 2 6 2" xfId="3444"/>
    <cellStyle name="Percent 2 13 2 6 2 2" xfId="4410"/>
    <cellStyle name="Percent 2 13 2 6 2 2 2" xfId="6085"/>
    <cellStyle name="Percent 2 13 2 6 2 2 2 2" xfId="9435"/>
    <cellStyle name="Percent 2 13 2 6 2 2 3" xfId="11110"/>
    <cellStyle name="Percent 2 13 2 6 2 2 4" xfId="7760"/>
    <cellStyle name="Percent 2 13 2 6 2 3" xfId="5118"/>
    <cellStyle name="Percent 2 13 2 6 2 3 2" xfId="8468"/>
    <cellStyle name="Percent 2 13 2 6 2 4" xfId="10143"/>
    <cellStyle name="Percent 2 13 2 6 2 5" xfId="6793"/>
    <cellStyle name="Percent 2 13 2 6 3" xfId="3679"/>
    <cellStyle name="Percent 2 13 2 6 3 2" xfId="4646"/>
    <cellStyle name="Percent 2 13 2 6 3 2 2" xfId="6321"/>
    <cellStyle name="Percent 2 13 2 6 3 2 2 2" xfId="9671"/>
    <cellStyle name="Percent 2 13 2 6 3 2 3" xfId="11346"/>
    <cellStyle name="Percent 2 13 2 6 3 2 4" xfId="7996"/>
    <cellStyle name="Percent 2 13 2 6 3 3" xfId="5354"/>
    <cellStyle name="Percent 2 13 2 6 3 3 2" xfId="8704"/>
    <cellStyle name="Percent 2 13 2 6 3 4" xfId="10379"/>
    <cellStyle name="Percent 2 13 2 6 3 5" xfId="7029"/>
    <cellStyle name="Percent 2 13 2 6 4" xfId="3915"/>
    <cellStyle name="Percent 2 13 2 6 4 2" xfId="5590"/>
    <cellStyle name="Percent 2 13 2 6 4 2 2" xfId="8940"/>
    <cellStyle name="Percent 2 13 2 6 4 3" xfId="10615"/>
    <cellStyle name="Percent 2 13 2 6 4 4" xfId="7265"/>
    <cellStyle name="Percent 2 13 2 6 5" xfId="4174"/>
    <cellStyle name="Percent 2 13 2 6 5 2" xfId="5849"/>
    <cellStyle name="Percent 2 13 2 6 5 2 2" xfId="9199"/>
    <cellStyle name="Percent 2 13 2 6 5 3" xfId="10874"/>
    <cellStyle name="Percent 2 13 2 6 5 4" xfId="7524"/>
    <cellStyle name="Percent 2 13 2 6 6" xfId="4882"/>
    <cellStyle name="Percent 2 13 2 6 6 2" xfId="8232"/>
    <cellStyle name="Percent 2 13 2 6 7" xfId="9907"/>
    <cellStyle name="Percent 2 13 2 6 8" xfId="6557"/>
    <cellStyle name="Percent 2 13 2 7" xfId="3326"/>
    <cellStyle name="Percent 2 13 2 7 2" xfId="4292"/>
    <cellStyle name="Percent 2 13 2 7 2 2" xfId="5967"/>
    <cellStyle name="Percent 2 13 2 7 2 2 2" xfId="9317"/>
    <cellStyle name="Percent 2 13 2 7 2 3" xfId="10992"/>
    <cellStyle name="Percent 2 13 2 7 2 4" xfId="7642"/>
    <cellStyle name="Percent 2 13 2 7 3" xfId="5000"/>
    <cellStyle name="Percent 2 13 2 7 3 2" xfId="8350"/>
    <cellStyle name="Percent 2 13 2 7 4" xfId="10025"/>
    <cellStyle name="Percent 2 13 2 7 5" xfId="6675"/>
    <cellStyle name="Percent 2 13 2 8" xfId="3561"/>
    <cellStyle name="Percent 2 13 2 8 2" xfId="4528"/>
    <cellStyle name="Percent 2 13 2 8 2 2" xfId="6203"/>
    <cellStyle name="Percent 2 13 2 8 2 2 2" xfId="9553"/>
    <cellStyle name="Percent 2 13 2 8 2 3" xfId="11228"/>
    <cellStyle name="Percent 2 13 2 8 2 4" xfId="7878"/>
    <cellStyle name="Percent 2 13 2 8 3" xfId="5236"/>
    <cellStyle name="Percent 2 13 2 8 3 2" xfId="8586"/>
    <cellStyle name="Percent 2 13 2 8 4" xfId="10261"/>
    <cellStyle name="Percent 2 13 2 8 5" xfId="6911"/>
    <cellStyle name="Percent 2 13 2 9" xfId="3797"/>
    <cellStyle name="Percent 2 13 2 9 2" xfId="4056"/>
    <cellStyle name="Percent 2 13 2 9 2 2" xfId="5731"/>
    <cellStyle name="Percent 2 13 2 9 2 2 2" xfId="9081"/>
    <cellStyle name="Percent 2 13 2 9 2 3" xfId="10756"/>
    <cellStyle name="Percent 2 13 2 9 2 4" xfId="7406"/>
    <cellStyle name="Percent 2 13 2 9 3" xfId="5472"/>
    <cellStyle name="Percent 2 13 2 9 3 2" xfId="8822"/>
    <cellStyle name="Percent 2 13 2 9 4" xfId="10497"/>
    <cellStyle name="Percent 2 13 2 9 5" xfId="7147"/>
    <cellStyle name="Percent 2 13 3" xfId="27"/>
    <cellStyle name="Percent 2 13 4" xfId="12196"/>
    <cellStyle name="Percent 2 13 4 2" xfId="12197"/>
    <cellStyle name="Percent 2 13 5" xfId="12198"/>
    <cellStyle name="Percent 2 14" xfId="2266"/>
    <cellStyle name="Percent 2 14 10" xfId="4032"/>
    <cellStyle name="Percent 2 14 10 2" xfId="5707"/>
    <cellStyle name="Percent 2 14 10 2 2" xfId="9057"/>
    <cellStyle name="Percent 2 14 10 3" xfId="10732"/>
    <cellStyle name="Percent 2 14 10 4" xfId="7382"/>
    <cellStyle name="Percent 2 14 11" xfId="4763"/>
    <cellStyle name="Percent 2 14 11 2" xfId="8113"/>
    <cellStyle name="Percent 2 14 12" xfId="9788"/>
    <cellStyle name="Percent 2 14 13" xfId="6438"/>
    <cellStyle name="Percent 2 14 14" xfId="2869"/>
    <cellStyle name="Percent 2 14 2" xfId="3113"/>
    <cellStyle name="Percent 2 14 2 2" xfId="3230"/>
    <cellStyle name="Percent 2 14 2 2 2" xfId="3466"/>
    <cellStyle name="Percent 2 14 2 2 2 2" xfId="4432"/>
    <cellStyle name="Percent 2 14 2 2 2 2 2" xfId="6107"/>
    <cellStyle name="Percent 2 14 2 2 2 2 2 2" xfId="9457"/>
    <cellStyle name="Percent 2 14 2 2 2 2 3" xfId="11132"/>
    <cellStyle name="Percent 2 14 2 2 2 2 4" xfId="7782"/>
    <cellStyle name="Percent 2 14 2 2 2 3" xfId="5140"/>
    <cellStyle name="Percent 2 14 2 2 2 3 2" xfId="8490"/>
    <cellStyle name="Percent 2 14 2 2 2 4" xfId="10165"/>
    <cellStyle name="Percent 2 14 2 2 2 5" xfId="6815"/>
    <cellStyle name="Percent 2 14 2 2 3" xfId="3701"/>
    <cellStyle name="Percent 2 14 2 2 3 2" xfId="4668"/>
    <cellStyle name="Percent 2 14 2 2 3 2 2" xfId="6343"/>
    <cellStyle name="Percent 2 14 2 2 3 2 2 2" xfId="9693"/>
    <cellStyle name="Percent 2 14 2 2 3 2 3" xfId="11368"/>
    <cellStyle name="Percent 2 14 2 2 3 2 4" xfId="8018"/>
    <cellStyle name="Percent 2 14 2 2 3 3" xfId="5376"/>
    <cellStyle name="Percent 2 14 2 2 3 3 2" xfId="8726"/>
    <cellStyle name="Percent 2 14 2 2 3 4" xfId="10401"/>
    <cellStyle name="Percent 2 14 2 2 3 5" xfId="7051"/>
    <cellStyle name="Percent 2 14 2 2 4" xfId="3937"/>
    <cellStyle name="Percent 2 14 2 2 4 2" xfId="5612"/>
    <cellStyle name="Percent 2 14 2 2 4 2 2" xfId="8962"/>
    <cellStyle name="Percent 2 14 2 2 4 3" xfId="10637"/>
    <cellStyle name="Percent 2 14 2 2 4 4" xfId="7287"/>
    <cellStyle name="Percent 2 14 2 2 5" xfId="4196"/>
    <cellStyle name="Percent 2 14 2 2 5 2" xfId="5871"/>
    <cellStyle name="Percent 2 14 2 2 5 2 2" xfId="9221"/>
    <cellStyle name="Percent 2 14 2 2 5 3" xfId="10896"/>
    <cellStyle name="Percent 2 14 2 2 5 4" xfId="7546"/>
    <cellStyle name="Percent 2 14 2 2 6" xfId="4904"/>
    <cellStyle name="Percent 2 14 2 2 6 2" xfId="8254"/>
    <cellStyle name="Percent 2 14 2 2 7" xfId="9929"/>
    <cellStyle name="Percent 2 14 2 2 8" xfId="6579"/>
    <cellStyle name="Percent 2 14 2 3" xfId="3348"/>
    <cellStyle name="Percent 2 14 2 3 2" xfId="4314"/>
    <cellStyle name="Percent 2 14 2 3 2 2" xfId="5989"/>
    <cellStyle name="Percent 2 14 2 3 2 2 2" xfId="9339"/>
    <cellStyle name="Percent 2 14 2 3 2 3" xfId="11014"/>
    <cellStyle name="Percent 2 14 2 3 2 4" xfId="7664"/>
    <cellStyle name="Percent 2 14 2 3 3" xfId="5022"/>
    <cellStyle name="Percent 2 14 2 3 3 2" xfId="8372"/>
    <cellStyle name="Percent 2 14 2 3 4" xfId="10047"/>
    <cellStyle name="Percent 2 14 2 3 5" xfId="6697"/>
    <cellStyle name="Percent 2 14 2 4" xfId="3583"/>
    <cellStyle name="Percent 2 14 2 4 2" xfId="4550"/>
    <cellStyle name="Percent 2 14 2 4 2 2" xfId="6225"/>
    <cellStyle name="Percent 2 14 2 4 2 2 2" xfId="9575"/>
    <cellStyle name="Percent 2 14 2 4 2 3" xfId="11250"/>
    <cellStyle name="Percent 2 14 2 4 2 4" xfId="7900"/>
    <cellStyle name="Percent 2 14 2 4 3" xfId="5258"/>
    <cellStyle name="Percent 2 14 2 4 3 2" xfId="8608"/>
    <cellStyle name="Percent 2 14 2 4 4" xfId="10283"/>
    <cellStyle name="Percent 2 14 2 4 5" xfId="6933"/>
    <cellStyle name="Percent 2 14 2 5" xfId="3819"/>
    <cellStyle name="Percent 2 14 2 5 2" xfId="5494"/>
    <cellStyle name="Percent 2 14 2 5 2 2" xfId="8844"/>
    <cellStyle name="Percent 2 14 2 5 3" xfId="10519"/>
    <cellStyle name="Percent 2 14 2 5 4" xfId="7169"/>
    <cellStyle name="Percent 2 14 2 6" xfId="4078"/>
    <cellStyle name="Percent 2 14 2 6 2" xfId="5753"/>
    <cellStyle name="Percent 2 14 2 6 2 2" xfId="9103"/>
    <cellStyle name="Percent 2 14 2 6 3" xfId="10778"/>
    <cellStyle name="Percent 2 14 2 6 4" xfId="7428"/>
    <cellStyle name="Percent 2 14 2 7" xfId="4786"/>
    <cellStyle name="Percent 2 14 2 7 2" xfId="8136"/>
    <cellStyle name="Percent 2 14 2 8" xfId="9811"/>
    <cellStyle name="Percent 2 14 2 9" xfId="6461"/>
    <cellStyle name="Percent 2 14 3" xfId="3136"/>
    <cellStyle name="Percent 2 14 3 2" xfId="3253"/>
    <cellStyle name="Percent 2 14 3 2 2" xfId="3489"/>
    <cellStyle name="Percent 2 14 3 2 2 2" xfId="4455"/>
    <cellStyle name="Percent 2 14 3 2 2 2 2" xfId="6130"/>
    <cellStyle name="Percent 2 14 3 2 2 2 2 2" xfId="9480"/>
    <cellStyle name="Percent 2 14 3 2 2 2 3" xfId="11155"/>
    <cellStyle name="Percent 2 14 3 2 2 2 4" xfId="7805"/>
    <cellStyle name="Percent 2 14 3 2 2 3" xfId="5163"/>
    <cellStyle name="Percent 2 14 3 2 2 3 2" xfId="8513"/>
    <cellStyle name="Percent 2 14 3 2 2 4" xfId="10188"/>
    <cellStyle name="Percent 2 14 3 2 2 5" xfId="6838"/>
    <cellStyle name="Percent 2 14 3 2 3" xfId="3724"/>
    <cellStyle name="Percent 2 14 3 2 3 2" xfId="4691"/>
    <cellStyle name="Percent 2 14 3 2 3 2 2" xfId="6366"/>
    <cellStyle name="Percent 2 14 3 2 3 2 2 2" xfId="9716"/>
    <cellStyle name="Percent 2 14 3 2 3 2 3" xfId="11391"/>
    <cellStyle name="Percent 2 14 3 2 3 2 4" xfId="8041"/>
    <cellStyle name="Percent 2 14 3 2 3 3" xfId="5399"/>
    <cellStyle name="Percent 2 14 3 2 3 3 2" xfId="8749"/>
    <cellStyle name="Percent 2 14 3 2 3 4" xfId="10424"/>
    <cellStyle name="Percent 2 14 3 2 3 5" xfId="7074"/>
    <cellStyle name="Percent 2 14 3 2 4" xfId="3960"/>
    <cellStyle name="Percent 2 14 3 2 4 2" xfId="5635"/>
    <cellStyle name="Percent 2 14 3 2 4 2 2" xfId="8985"/>
    <cellStyle name="Percent 2 14 3 2 4 3" xfId="10660"/>
    <cellStyle name="Percent 2 14 3 2 4 4" xfId="7310"/>
    <cellStyle name="Percent 2 14 3 2 5" xfId="4219"/>
    <cellStyle name="Percent 2 14 3 2 5 2" xfId="5894"/>
    <cellStyle name="Percent 2 14 3 2 5 2 2" xfId="9244"/>
    <cellStyle name="Percent 2 14 3 2 5 3" xfId="10919"/>
    <cellStyle name="Percent 2 14 3 2 5 4" xfId="7569"/>
    <cellStyle name="Percent 2 14 3 2 6" xfId="4927"/>
    <cellStyle name="Percent 2 14 3 2 6 2" xfId="8277"/>
    <cellStyle name="Percent 2 14 3 2 7" xfId="9952"/>
    <cellStyle name="Percent 2 14 3 2 8" xfId="6602"/>
    <cellStyle name="Percent 2 14 3 3" xfId="3371"/>
    <cellStyle name="Percent 2 14 3 3 2" xfId="4337"/>
    <cellStyle name="Percent 2 14 3 3 2 2" xfId="6012"/>
    <cellStyle name="Percent 2 14 3 3 2 2 2" xfId="9362"/>
    <cellStyle name="Percent 2 14 3 3 2 3" xfId="11037"/>
    <cellStyle name="Percent 2 14 3 3 2 4" xfId="7687"/>
    <cellStyle name="Percent 2 14 3 3 3" xfId="5045"/>
    <cellStyle name="Percent 2 14 3 3 3 2" xfId="8395"/>
    <cellStyle name="Percent 2 14 3 3 4" xfId="10070"/>
    <cellStyle name="Percent 2 14 3 3 5" xfId="6720"/>
    <cellStyle name="Percent 2 14 3 4" xfId="3606"/>
    <cellStyle name="Percent 2 14 3 4 2" xfId="4573"/>
    <cellStyle name="Percent 2 14 3 4 2 2" xfId="6248"/>
    <cellStyle name="Percent 2 14 3 4 2 2 2" xfId="9598"/>
    <cellStyle name="Percent 2 14 3 4 2 3" xfId="11273"/>
    <cellStyle name="Percent 2 14 3 4 2 4" xfId="7923"/>
    <cellStyle name="Percent 2 14 3 4 3" xfId="5281"/>
    <cellStyle name="Percent 2 14 3 4 3 2" xfId="8631"/>
    <cellStyle name="Percent 2 14 3 4 4" xfId="10306"/>
    <cellStyle name="Percent 2 14 3 4 5" xfId="6956"/>
    <cellStyle name="Percent 2 14 3 5" xfId="3842"/>
    <cellStyle name="Percent 2 14 3 5 2" xfId="5517"/>
    <cellStyle name="Percent 2 14 3 5 2 2" xfId="8867"/>
    <cellStyle name="Percent 2 14 3 5 3" xfId="10542"/>
    <cellStyle name="Percent 2 14 3 5 4" xfId="7192"/>
    <cellStyle name="Percent 2 14 3 6" xfId="4101"/>
    <cellStyle name="Percent 2 14 3 6 2" xfId="5776"/>
    <cellStyle name="Percent 2 14 3 6 2 2" xfId="9126"/>
    <cellStyle name="Percent 2 14 3 6 3" xfId="10801"/>
    <cellStyle name="Percent 2 14 3 6 4" xfId="7451"/>
    <cellStyle name="Percent 2 14 3 7" xfId="4809"/>
    <cellStyle name="Percent 2 14 3 7 2" xfId="8159"/>
    <cellStyle name="Percent 2 14 3 8" xfId="9834"/>
    <cellStyle name="Percent 2 14 3 9" xfId="6484"/>
    <cellStyle name="Percent 2 14 4" xfId="3159"/>
    <cellStyle name="Percent 2 14 4 2" xfId="3277"/>
    <cellStyle name="Percent 2 14 4 2 2" xfId="3513"/>
    <cellStyle name="Percent 2 14 4 2 2 2" xfId="4479"/>
    <cellStyle name="Percent 2 14 4 2 2 2 2" xfId="6154"/>
    <cellStyle name="Percent 2 14 4 2 2 2 2 2" xfId="9504"/>
    <cellStyle name="Percent 2 14 4 2 2 2 3" xfId="11179"/>
    <cellStyle name="Percent 2 14 4 2 2 2 4" xfId="7829"/>
    <cellStyle name="Percent 2 14 4 2 2 3" xfId="5187"/>
    <cellStyle name="Percent 2 14 4 2 2 3 2" xfId="8537"/>
    <cellStyle name="Percent 2 14 4 2 2 4" xfId="10212"/>
    <cellStyle name="Percent 2 14 4 2 2 5" xfId="6862"/>
    <cellStyle name="Percent 2 14 4 2 3" xfId="3748"/>
    <cellStyle name="Percent 2 14 4 2 3 2" xfId="4715"/>
    <cellStyle name="Percent 2 14 4 2 3 2 2" xfId="6390"/>
    <cellStyle name="Percent 2 14 4 2 3 2 2 2" xfId="9740"/>
    <cellStyle name="Percent 2 14 4 2 3 2 3" xfId="11415"/>
    <cellStyle name="Percent 2 14 4 2 3 2 4" xfId="8065"/>
    <cellStyle name="Percent 2 14 4 2 3 3" xfId="5423"/>
    <cellStyle name="Percent 2 14 4 2 3 3 2" xfId="8773"/>
    <cellStyle name="Percent 2 14 4 2 3 4" xfId="10448"/>
    <cellStyle name="Percent 2 14 4 2 3 5" xfId="7098"/>
    <cellStyle name="Percent 2 14 4 2 4" xfId="3984"/>
    <cellStyle name="Percent 2 14 4 2 4 2" xfId="5659"/>
    <cellStyle name="Percent 2 14 4 2 4 2 2" xfId="9009"/>
    <cellStyle name="Percent 2 14 4 2 4 3" xfId="10684"/>
    <cellStyle name="Percent 2 14 4 2 4 4" xfId="7334"/>
    <cellStyle name="Percent 2 14 4 2 5" xfId="4243"/>
    <cellStyle name="Percent 2 14 4 2 5 2" xfId="5918"/>
    <cellStyle name="Percent 2 14 4 2 5 2 2" xfId="9268"/>
    <cellStyle name="Percent 2 14 4 2 5 3" xfId="10943"/>
    <cellStyle name="Percent 2 14 4 2 5 4" xfId="7593"/>
    <cellStyle name="Percent 2 14 4 2 6" xfId="4951"/>
    <cellStyle name="Percent 2 14 4 2 6 2" xfId="8301"/>
    <cellStyle name="Percent 2 14 4 2 7" xfId="9976"/>
    <cellStyle name="Percent 2 14 4 2 8" xfId="6626"/>
    <cellStyle name="Percent 2 14 4 3" xfId="3395"/>
    <cellStyle name="Percent 2 14 4 3 2" xfId="4361"/>
    <cellStyle name="Percent 2 14 4 3 2 2" xfId="6036"/>
    <cellStyle name="Percent 2 14 4 3 2 2 2" xfId="9386"/>
    <cellStyle name="Percent 2 14 4 3 2 3" xfId="11061"/>
    <cellStyle name="Percent 2 14 4 3 2 4" xfId="7711"/>
    <cellStyle name="Percent 2 14 4 3 3" xfId="5069"/>
    <cellStyle name="Percent 2 14 4 3 3 2" xfId="8419"/>
    <cellStyle name="Percent 2 14 4 3 4" xfId="10094"/>
    <cellStyle name="Percent 2 14 4 3 5" xfId="6744"/>
    <cellStyle name="Percent 2 14 4 4" xfId="3630"/>
    <cellStyle name="Percent 2 14 4 4 2" xfId="4597"/>
    <cellStyle name="Percent 2 14 4 4 2 2" xfId="6272"/>
    <cellStyle name="Percent 2 14 4 4 2 2 2" xfId="9622"/>
    <cellStyle name="Percent 2 14 4 4 2 3" xfId="11297"/>
    <cellStyle name="Percent 2 14 4 4 2 4" xfId="7947"/>
    <cellStyle name="Percent 2 14 4 4 3" xfId="5305"/>
    <cellStyle name="Percent 2 14 4 4 3 2" xfId="8655"/>
    <cellStyle name="Percent 2 14 4 4 4" xfId="10330"/>
    <cellStyle name="Percent 2 14 4 4 5" xfId="6980"/>
    <cellStyle name="Percent 2 14 4 5" xfId="3866"/>
    <cellStyle name="Percent 2 14 4 5 2" xfId="5541"/>
    <cellStyle name="Percent 2 14 4 5 2 2" xfId="8891"/>
    <cellStyle name="Percent 2 14 4 5 3" xfId="10566"/>
    <cellStyle name="Percent 2 14 4 5 4" xfId="7216"/>
    <cellStyle name="Percent 2 14 4 6" xfId="4125"/>
    <cellStyle name="Percent 2 14 4 6 2" xfId="5800"/>
    <cellStyle name="Percent 2 14 4 6 2 2" xfId="9150"/>
    <cellStyle name="Percent 2 14 4 6 3" xfId="10825"/>
    <cellStyle name="Percent 2 14 4 6 4" xfId="7475"/>
    <cellStyle name="Percent 2 14 4 7" xfId="4833"/>
    <cellStyle name="Percent 2 14 4 7 2" xfId="8183"/>
    <cellStyle name="Percent 2 14 4 8" xfId="9858"/>
    <cellStyle name="Percent 2 14 4 9" xfId="6508"/>
    <cellStyle name="Percent 2 14 5" xfId="3183"/>
    <cellStyle name="Percent 2 14 5 2" xfId="3301"/>
    <cellStyle name="Percent 2 14 5 2 2" xfId="3537"/>
    <cellStyle name="Percent 2 14 5 2 2 2" xfId="4503"/>
    <cellStyle name="Percent 2 14 5 2 2 2 2" xfId="6178"/>
    <cellStyle name="Percent 2 14 5 2 2 2 2 2" xfId="9528"/>
    <cellStyle name="Percent 2 14 5 2 2 2 3" xfId="11203"/>
    <cellStyle name="Percent 2 14 5 2 2 2 4" xfId="7853"/>
    <cellStyle name="Percent 2 14 5 2 2 3" xfId="5211"/>
    <cellStyle name="Percent 2 14 5 2 2 3 2" xfId="8561"/>
    <cellStyle name="Percent 2 14 5 2 2 4" xfId="10236"/>
    <cellStyle name="Percent 2 14 5 2 2 5" xfId="6886"/>
    <cellStyle name="Percent 2 14 5 2 3" xfId="3772"/>
    <cellStyle name="Percent 2 14 5 2 3 2" xfId="4739"/>
    <cellStyle name="Percent 2 14 5 2 3 2 2" xfId="6414"/>
    <cellStyle name="Percent 2 14 5 2 3 2 2 2" xfId="9764"/>
    <cellStyle name="Percent 2 14 5 2 3 2 3" xfId="11439"/>
    <cellStyle name="Percent 2 14 5 2 3 2 4" xfId="8089"/>
    <cellStyle name="Percent 2 14 5 2 3 3" xfId="5447"/>
    <cellStyle name="Percent 2 14 5 2 3 3 2" xfId="8797"/>
    <cellStyle name="Percent 2 14 5 2 3 4" xfId="10472"/>
    <cellStyle name="Percent 2 14 5 2 3 5" xfId="7122"/>
    <cellStyle name="Percent 2 14 5 2 4" xfId="4008"/>
    <cellStyle name="Percent 2 14 5 2 4 2" xfId="5683"/>
    <cellStyle name="Percent 2 14 5 2 4 2 2" xfId="9033"/>
    <cellStyle name="Percent 2 14 5 2 4 3" xfId="10708"/>
    <cellStyle name="Percent 2 14 5 2 4 4" xfId="7358"/>
    <cellStyle name="Percent 2 14 5 2 5" xfId="4267"/>
    <cellStyle name="Percent 2 14 5 2 5 2" xfId="5942"/>
    <cellStyle name="Percent 2 14 5 2 5 2 2" xfId="9292"/>
    <cellStyle name="Percent 2 14 5 2 5 3" xfId="10967"/>
    <cellStyle name="Percent 2 14 5 2 5 4" xfId="7617"/>
    <cellStyle name="Percent 2 14 5 2 6" xfId="4975"/>
    <cellStyle name="Percent 2 14 5 2 6 2" xfId="8325"/>
    <cellStyle name="Percent 2 14 5 2 7" xfId="10000"/>
    <cellStyle name="Percent 2 14 5 2 8" xfId="6650"/>
    <cellStyle name="Percent 2 14 5 3" xfId="3419"/>
    <cellStyle name="Percent 2 14 5 3 2" xfId="4385"/>
    <cellStyle name="Percent 2 14 5 3 2 2" xfId="6060"/>
    <cellStyle name="Percent 2 14 5 3 2 2 2" xfId="9410"/>
    <cellStyle name="Percent 2 14 5 3 2 3" xfId="11085"/>
    <cellStyle name="Percent 2 14 5 3 2 4" xfId="7735"/>
    <cellStyle name="Percent 2 14 5 3 3" xfId="5093"/>
    <cellStyle name="Percent 2 14 5 3 3 2" xfId="8443"/>
    <cellStyle name="Percent 2 14 5 3 4" xfId="10118"/>
    <cellStyle name="Percent 2 14 5 3 5" xfId="6768"/>
    <cellStyle name="Percent 2 14 5 4" xfId="3654"/>
    <cellStyle name="Percent 2 14 5 4 2" xfId="4621"/>
    <cellStyle name="Percent 2 14 5 4 2 2" xfId="6296"/>
    <cellStyle name="Percent 2 14 5 4 2 2 2" xfId="9646"/>
    <cellStyle name="Percent 2 14 5 4 2 3" xfId="11321"/>
    <cellStyle name="Percent 2 14 5 4 2 4" xfId="7971"/>
    <cellStyle name="Percent 2 14 5 4 3" xfId="5329"/>
    <cellStyle name="Percent 2 14 5 4 3 2" xfId="8679"/>
    <cellStyle name="Percent 2 14 5 4 4" xfId="10354"/>
    <cellStyle name="Percent 2 14 5 4 5" xfId="7004"/>
    <cellStyle name="Percent 2 14 5 5" xfId="3890"/>
    <cellStyle name="Percent 2 14 5 5 2" xfId="5565"/>
    <cellStyle name="Percent 2 14 5 5 2 2" xfId="8915"/>
    <cellStyle name="Percent 2 14 5 5 3" xfId="10590"/>
    <cellStyle name="Percent 2 14 5 5 4" xfId="7240"/>
    <cellStyle name="Percent 2 14 5 6" xfId="4149"/>
    <cellStyle name="Percent 2 14 5 6 2" xfId="5824"/>
    <cellStyle name="Percent 2 14 5 6 2 2" xfId="9174"/>
    <cellStyle name="Percent 2 14 5 6 3" xfId="10849"/>
    <cellStyle name="Percent 2 14 5 6 4" xfId="7499"/>
    <cellStyle name="Percent 2 14 5 7" xfId="4857"/>
    <cellStyle name="Percent 2 14 5 7 2" xfId="8207"/>
    <cellStyle name="Percent 2 14 5 8" xfId="9882"/>
    <cellStyle name="Percent 2 14 5 9" xfId="6532"/>
    <cellStyle name="Percent 2 14 6" xfId="3207"/>
    <cellStyle name="Percent 2 14 6 2" xfId="3443"/>
    <cellStyle name="Percent 2 14 6 2 2" xfId="4409"/>
    <cellStyle name="Percent 2 14 6 2 2 2" xfId="6084"/>
    <cellStyle name="Percent 2 14 6 2 2 2 2" xfId="9434"/>
    <cellStyle name="Percent 2 14 6 2 2 3" xfId="11109"/>
    <cellStyle name="Percent 2 14 6 2 2 4" xfId="7759"/>
    <cellStyle name="Percent 2 14 6 2 3" xfId="5117"/>
    <cellStyle name="Percent 2 14 6 2 3 2" xfId="8467"/>
    <cellStyle name="Percent 2 14 6 2 4" xfId="10142"/>
    <cellStyle name="Percent 2 14 6 2 5" xfId="6792"/>
    <cellStyle name="Percent 2 14 6 3" xfId="3678"/>
    <cellStyle name="Percent 2 14 6 3 2" xfId="4645"/>
    <cellStyle name="Percent 2 14 6 3 2 2" xfId="6320"/>
    <cellStyle name="Percent 2 14 6 3 2 2 2" xfId="9670"/>
    <cellStyle name="Percent 2 14 6 3 2 3" xfId="11345"/>
    <cellStyle name="Percent 2 14 6 3 2 4" xfId="7995"/>
    <cellStyle name="Percent 2 14 6 3 3" xfId="5353"/>
    <cellStyle name="Percent 2 14 6 3 3 2" xfId="8703"/>
    <cellStyle name="Percent 2 14 6 3 4" xfId="10378"/>
    <cellStyle name="Percent 2 14 6 3 5" xfId="7028"/>
    <cellStyle name="Percent 2 14 6 4" xfId="3914"/>
    <cellStyle name="Percent 2 14 6 4 2" xfId="5589"/>
    <cellStyle name="Percent 2 14 6 4 2 2" xfId="8939"/>
    <cellStyle name="Percent 2 14 6 4 3" xfId="10614"/>
    <cellStyle name="Percent 2 14 6 4 4" xfId="7264"/>
    <cellStyle name="Percent 2 14 6 5" xfId="4173"/>
    <cellStyle name="Percent 2 14 6 5 2" xfId="5848"/>
    <cellStyle name="Percent 2 14 6 5 2 2" xfId="9198"/>
    <cellStyle name="Percent 2 14 6 5 3" xfId="10873"/>
    <cellStyle name="Percent 2 14 6 5 4" xfId="7523"/>
    <cellStyle name="Percent 2 14 6 6" xfId="4881"/>
    <cellStyle name="Percent 2 14 6 6 2" xfId="8231"/>
    <cellStyle name="Percent 2 14 6 7" xfId="9906"/>
    <cellStyle name="Percent 2 14 6 8" xfId="6556"/>
    <cellStyle name="Percent 2 14 7" xfId="3325"/>
    <cellStyle name="Percent 2 14 7 2" xfId="4291"/>
    <cellStyle name="Percent 2 14 7 2 2" xfId="5966"/>
    <cellStyle name="Percent 2 14 7 2 2 2" xfId="9316"/>
    <cellStyle name="Percent 2 14 7 2 3" xfId="10991"/>
    <cellStyle name="Percent 2 14 7 2 4" xfId="7641"/>
    <cellStyle name="Percent 2 14 7 3" xfId="4999"/>
    <cellStyle name="Percent 2 14 7 3 2" xfId="8349"/>
    <cellStyle name="Percent 2 14 7 4" xfId="10024"/>
    <cellStyle name="Percent 2 14 7 5" xfId="6674"/>
    <cellStyle name="Percent 2 14 8" xfId="3560"/>
    <cellStyle name="Percent 2 14 8 2" xfId="4527"/>
    <cellStyle name="Percent 2 14 8 2 2" xfId="6202"/>
    <cellStyle name="Percent 2 14 8 2 2 2" xfId="9552"/>
    <cellStyle name="Percent 2 14 8 2 3" xfId="11227"/>
    <cellStyle name="Percent 2 14 8 2 4" xfId="7877"/>
    <cellStyle name="Percent 2 14 8 3" xfId="5235"/>
    <cellStyle name="Percent 2 14 8 3 2" xfId="8585"/>
    <cellStyle name="Percent 2 14 8 4" xfId="10260"/>
    <cellStyle name="Percent 2 14 8 5" xfId="6910"/>
    <cellStyle name="Percent 2 14 9" xfId="3796"/>
    <cellStyle name="Percent 2 14 9 2" xfId="4055"/>
    <cellStyle name="Percent 2 14 9 2 2" xfId="5730"/>
    <cellStyle name="Percent 2 14 9 2 2 2" xfId="9080"/>
    <cellStyle name="Percent 2 14 9 2 3" xfId="10755"/>
    <cellStyle name="Percent 2 14 9 2 4" xfId="7405"/>
    <cellStyle name="Percent 2 14 9 3" xfId="5471"/>
    <cellStyle name="Percent 2 14 9 3 2" xfId="8821"/>
    <cellStyle name="Percent 2 14 9 4" xfId="10496"/>
    <cellStyle name="Percent 2 14 9 5" xfId="7146"/>
    <cellStyle name="Percent 2 15" xfId="12199"/>
    <cellStyle name="Percent 2 16" xfId="12200"/>
    <cellStyle name="Percent 2 2" xfId="349"/>
    <cellStyle name="Percent 2 2 2" xfId="2272"/>
    <cellStyle name="Percent 2 2 2 2" xfId="2273"/>
    <cellStyle name="Percent 2 2 2 2 2" xfId="2709"/>
    <cellStyle name="Percent 2 2 2 3" xfId="2432"/>
    <cellStyle name="Percent 2 2 2 3 2" xfId="12202"/>
    <cellStyle name="Percent 2 2 2 3 2 2" xfId="12203"/>
    <cellStyle name="Percent 2 2 2 3 3" xfId="12204"/>
    <cellStyle name="Percent 2 2 2 3 4" xfId="12205"/>
    <cellStyle name="Percent 2 2 2 3 5" xfId="12201"/>
    <cellStyle name="Percent 2 2 3" xfId="2271"/>
    <cellStyle name="Percent 2 2 4" xfId="2710"/>
    <cellStyle name="Percent 2 2 5" xfId="12206"/>
    <cellStyle name="Percent 2 2 5 2" xfId="12207"/>
    <cellStyle name="Percent 2 2 6" xfId="12208"/>
    <cellStyle name="Percent 2 3" xfId="2274"/>
    <cellStyle name="Percent 2 3 2" xfId="2275"/>
    <cellStyle name="Percent 2 4" xfId="2276"/>
    <cellStyle name="Percent 2 5" xfId="2277"/>
    <cellStyle name="Percent 2 6" xfId="2278"/>
    <cellStyle name="Percent 2 7" xfId="2279"/>
    <cellStyle name="Percent 2 8" xfId="2280"/>
    <cellStyle name="Percent 2 9" xfId="2281"/>
    <cellStyle name="Percent 3" xfId="2282"/>
    <cellStyle name="Percent 3 2" xfId="2283"/>
    <cellStyle name="Percent 3 2 2" xfId="2711"/>
    <cellStyle name="Percent 4" xfId="282"/>
    <cellStyle name="Percent 4 2" xfId="347"/>
    <cellStyle name="Percent 4 2 2" xfId="2284"/>
    <cellStyle name="Percent 4 3" xfId="2285"/>
    <cellStyle name="Percent 4 4" xfId="2286"/>
    <cellStyle name="Percent 4 4 2" xfId="2712"/>
    <cellStyle name="Percent 4 5" xfId="2713"/>
    <cellStyle name="Percent 4 6" xfId="12209"/>
    <cellStyle name="Percent 4 6 2" xfId="12210"/>
    <cellStyle name="Percent 4 7" xfId="12211"/>
    <cellStyle name="Percent 4 7 2" xfId="12212"/>
    <cellStyle name="Percent 4 8" xfId="12213"/>
    <cellStyle name="Percent 5" xfId="13"/>
    <cellStyle name="Percent 5 2" xfId="2287"/>
    <cellStyle name="Percent 5 2 2" xfId="2714"/>
    <cellStyle name="Percent 5 2 3" xfId="12214"/>
    <cellStyle name="Percent 5 2 3 2" xfId="12215"/>
    <cellStyle name="Percent 5 2 4" xfId="12216"/>
    <cellStyle name="Percent 5 3" xfId="2715"/>
    <cellStyle name="Percent 6" xfId="2288"/>
    <cellStyle name="Percent 7" xfId="2289"/>
    <cellStyle name="Percent 7 2" xfId="2716"/>
    <cellStyle name="Percent 8" xfId="2290"/>
    <cellStyle name="Percent 8 2" xfId="2718"/>
    <cellStyle name="Percent 8 3" xfId="2719"/>
    <cellStyle name="Percent 8 4" xfId="2717"/>
    <cellStyle name="Percent 8 5" xfId="12217"/>
    <cellStyle name="Percent 8 5 2" xfId="12218"/>
    <cellStyle name="Percent 8 6" xfId="12219"/>
    <cellStyle name="Percent 9" xfId="12220"/>
    <cellStyle name="Percent 9 2" xfId="12221"/>
    <cellStyle name="Testo avviso" xfId="220"/>
    <cellStyle name="Testo avviso 2" xfId="331"/>
    <cellStyle name="Testo avviso 2 2" xfId="2291"/>
    <cellStyle name="Testo avviso 2 2 2" xfId="2720"/>
    <cellStyle name="Testo avviso 3" xfId="2292"/>
    <cellStyle name="Testo avviso 4" xfId="2721"/>
    <cellStyle name="Testo descrittivo" xfId="221"/>
    <cellStyle name="Testo descrittivo 2" xfId="332"/>
    <cellStyle name="Testo descrittivo 2 2" xfId="2293"/>
    <cellStyle name="Testo descrittivo 2 2 2" xfId="2722"/>
    <cellStyle name="Testo descrittivo 3" xfId="2294"/>
    <cellStyle name="Testo descrittivo 4" xfId="2723"/>
    <cellStyle name="Title 2" xfId="260"/>
    <cellStyle name="Title 2 10" xfId="2296"/>
    <cellStyle name="Title 2 11" xfId="2297"/>
    <cellStyle name="Title 2 12" xfId="2298"/>
    <cellStyle name="Title 2 13" xfId="2299"/>
    <cellStyle name="Title 2 14" xfId="2300"/>
    <cellStyle name="Title 2 15" xfId="2301"/>
    <cellStyle name="Title 2 16" xfId="2302"/>
    <cellStyle name="Title 2 17" xfId="2303"/>
    <cellStyle name="Title 2 18" xfId="2295"/>
    <cellStyle name="Title 2 19" xfId="12222"/>
    <cellStyle name="Title 2 2" xfId="2304"/>
    <cellStyle name="Title 2 20" xfId="12223"/>
    <cellStyle name="Title 2 3" xfId="2305"/>
    <cellStyle name="Title 2 4" xfId="2306"/>
    <cellStyle name="Title 2 5" xfId="2307"/>
    <cellStyle name="Title 2 6" xfId="2308"/>
    <cellStyle name="Title 2 7" xfId="2309"/>
    <cellStyle name="Title 2 8" xfId="2310"/>
    <cellStyle name="Title 2 9" xfId="2311"/>
    <cellStyle name="Title 3 10" xfId="2312"/>
    <cellStyle name="Title 3 11" xfId="2313"/>
    <cellStyle name="Title 3 12" xfId="2314"/>
    <cellStyle name="Title 3 13" xfId="2315"/>
    <cellStyle name="Title 3 14" xfId="2316"/>
    <cellStyle name="Title 3 15" xfId="2317"/>
    <cellStyle name="Title 3 16" xfId="2318"/>
    <cellStyle name="Title 3 17" xfId="2319"/>
    <cellStyle name="Title 3 2" xfId="2320"/>
    <cellStyle name="Title 3 3" xfId="2321"/>
    <cellStyle name="Title 3 4" xfId="2322"/>
    <cellStyle name="Title 3 5" xfId="2323"/>
    <cellStyle name="Title 3 6" xfId="2324"/>
    <cellStyle name="Title 3 7" xfId="2325"/>
    <cellStyle name="Title 3 8" xfId="2326"/>
    <cellStyle name="Title 3 9" xfId="2327"/>
    <cellStyle name="Titolo" xfId="222"/>
    <cellStyle name="Titolo 1" xfId="223"/>
    <cellStyle name="Titolo 1 2" xfId="334"/>
    <cellStyle name="Titolo 1 2 2" xfId="2328"/>
    <cellStyle name="Titolo 1 2 2 2" xfId="2724"/>
    <cellStyle name="Titolo 1 3" xfId="2329"/>
    <cellStyle name="Titolo 1 4" xfId="2725"/>
    <cellStyle name="Titolo 2" xfId="224"/>
    <cellStyle name="Titolo 2 2" xfId="335"/>
    <cellStyle name="Titolo 2 2 2" xfId="2330"/>
    <cellStyle name="Titolo 2 2 2 2" xfId="2726"/>
    <cellStyle name="Titolo 2 3" xfId="2331"/>
    <cellStyle name="Titolo 2 4" xfId="2727"/>
    <cellStyle name="Titolo 3" xfId="225"/>
    <cellStyle name="Titolo 3 2" xfId="336"/>
    <cellStyle name="Titolo 3 2 2" xfId="2332"/>
    <cellStyle name="Titolo 3 2 2 2" xfId="2728"/>
    <cellStyle name="Titolo 3 3" xfId="2333"/>
    <cellStyle name="Titolo 3 4" xfId="2729"/>
    <cellStyle name="Titolo 4" xfId="226"/>
    <cellStyle name="Titolo 4 2" xfId="337"/>
    <cellStyle name="Titolo 4 2 2" xfId="2334"/>
    <cellStyle name="Titolo 4 2 2 2" xfId="2730"/>
    <cellStyle name="Titolo 4 3" xfId="2335"/>
    <cellStyle name="Titolo 4 4" xfId="2731"/>
    <cellStyle name="Titolo 5" xfId="333"/>
    <cellStyle name="Titolo 5 2" xfId="2336"/>
    <cellStyle name="Titolo 5 2 2" xfId="2732"/>
    <cellStyle name="Titolo 6" xfId="2337"/>
    <cellStyle name="Titolo 7" xfId="2733"/>
    <cellStyle name="Total 2" xfId="271"/>
    <cellStyle name="Total 2 10" xfId="2338"/>
    <cellStyle name="Total 2 11" xfId="2339"/>
    <cellStyle name="Total 2 12" xfId="2340"/>
    <cellStyle name="Total 2 13" xfId="2341"/>
    <cellStyle name="Total 2 14" xfId="2342"/>
    <cellStyle name="Total 2 15" xfId="2343"/>
    <cellStyle name="Total 2 16" xfId="2344"/>
    <cellStyle name="Total 2 17" xfId="2345"/>
    <cellStyle name="Total 2 2" xfId="2346"/>
    <cellStyle name="Total 2 3" xfId="2347"/>
    <cellStyle name="Total 2 4" xfId="2348"/>
    <cellStyle name="Total 2 5" xfId="2349"/>
    <cellStyle name="Total 2 6" xfId="2350"/>
    <cellStyle name="Total 2 7" xfId="2351"/>
    <cellStyle name="Total 2 8" xfId="2352"/>
    <cellStyle name="Total 2 9" xfId="2353"/>
    <cellStyle name="Total 3 10" xfId="2354"/>
    <cellStyle name="Total 3 11" xfId="2355"/>
    <cellStyle name="Total 3 12" xfId="2356"/>
    <cellStyle name="Total 3 13" xfId="2357"/>
    <cellStyle name="Total 3 14" xfId="2358"/>
    <cellStyle name="Total 3 15" xfId="2359"/>
    <cellStyle name="Total 3 16" xfId="2360"/>
    <cellStyle name="Total 3 17" xfId="2361"/>
    <cellStyle name="Total 3 2" xfId="2362"/>
    <cellStyle name="Total 3 3" xfId="2363"/>
    <cellStyle name="Total 3 4" xfId="2364"/>
    <cellStyle name="Total 3 5" xfId="2365"/>
    <cellStyle name="Total 3 6" xfId="2366"/>
    <cellStyle name="Total 3 7" xfId="2367"/>
    <cellStyle name="Total 3 8" xfId="2368"/>
    <cellStyle name="Total 3 9" xfId="2369"/>
    <cellStyle name="Totale" xfId="227"/>
    <cellStyle name="Totale 2" xfId="338"/>
    <cellStyle name="Totale 2 2" xfId="2370"/>
    <cellStyle name="Totale 2 2 2" xfId="2734"/>
    <cellStyle name="Totale 3" xfId="2371"/>
    <cellStyle name="Totale 4" xfId="2735"/>
    <cellStyle name="Valore non valido" xfId="228"/>
    <cellStyle name="Valore non valido 2" xfId="339"/>
    <cellStyle name="Valore non valido 2 2" xfId="2372"/>
    <cellStyle name="Valore non valido 2 2 2" xfId="2736"/>
    <cellStyle name="Valore non valido 3" xfId="2373"/>
    <cellStyle name="Valore non valido 4" xfId="2737"/>
    <cellStyle name="Valore valido" xfId="229"/>
    <cellStyle name="Valore valido 2" xfId="340"/>
    <cellStyle name="Valore valido 2 2" xfId="2374"/>
    <cellStyle name="Valore valido 2 2 2" xfId="2738"/>
    <cellStyle name="Valore valido 3" xfId="2375"/>
    <cellStyle name="Valore valido 4" xfId="2739"/>
    <cellStyle name="Warning Text 2" xfId="270"/>
    <cellStyle name="Warning Text 2 10" xfId="2376"/>
    <cellStyle name="Warning Text 2 11" xfId="2377"/>
    <cellStyle name="Warning Text 2 12" xfId="2378"/>
    <cellStyle name="Warning Text 2 13" xfId="2379"/>
    <cellStyle name="Warning Text 2 14" xfId="2380"/>
    <cellStyle name="Warning Text 2 15" xfId="2381"/>
    <cellStyle name="Warning Text 2 16" xfId="2382"/>
    <cellStyle name="Warning Text 2 17" xfId="2383"/>
    <cellStyle name="Warning Text 2 2" xfId="2384"/>
    <cellStyle name="Warning Text 2 3" xfId="2385"/>
    <cellStyle name="Warning Text 2 4" xfId="2386"/>
    <cellStyle name="Warning Text 2 5" xfId="2387"/>
    <cellStyle name="Warning Text 2 6" xfId="2388"/>
    <cellStyle name="Warning Text 2 7" xfId="2389"/>
    <cellStyle name="Warning Text 2 8" xfId="2390"/>
    <cellStyle name="Warning Text 2 9" xfId="2391"/>
    <cellStyle name="Warning Text 3 10" xfId="2392"/>
    <cellStyle name="Warning Text 3 11" xfId="2393"/>
    <cellStyle name="Warning Text 3 12" xfId="2394"/>
    <cellStyle name="Warning Text 3 13" xfId="2395"/>
    <cellStyle name="Warning Text 3 14" xfId="2396"/>
    <cellStyle name="Warning Text 3 15" xfId="2397"/>
    <cellStyle name="Warning Text 3 16" xfId="2398"/>
    <cellStyle name="Warning Text 3 17" xfId="2399"/>
    <cellStyle name="Warning Text 3 2" xfId="2400"/>
    <cellStyle name="Warning Text 3 3" xfId="2401"/>
    <cellStyle name="Warning Text 3 4" xfId="2402"/>
    <cellStyle name="Warning Text 3 5" xfId="2403"/>
    <cellStyle name="Warning Text 3 6" xfId="2404"/>
    <cellStyle name="Warning Text 3 7" xfId="2405"/>
    <cellStyle name="Warning Text 3 8" xfId="2406"/>
    <cellStyle name="Warning Text 3 9" xfId="2407"/>
  </cellStyles>
  <dxfs count="0"/>
  <tableStyles count="0" defaultTableStyle="TableStyleMedium2" defaultPivotStyle="PivotStyleLight16"/>
  <colors>
    <mruColors>
      <color rgb="FFCC00FF"/>
      <color rgb="FFFFCCFF"/>
      <color rgb="FFFFFFCC"/>
      <color rgb="FF9900CC"/>
      <color rgb="FF008000"/>
      <color rgb="FFCC0000"/>
      <color rgb="FFFF9900"/>
      <color rgb="FFCC66FF"/>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тема">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803"/>
  <sheetViews>
    <sheetView tabSelected="1" zoomScaleNormal="100" zoomScaleSheetLayoutView="100" workbookViewId="0">
      <selection activeCell="U3" sqref="U3"/>
    </sheetView>
  </sheetViews>
  <sheetFormatPr defaultRowHeight="12.75" thickTop="1" thickBottom="1"/>
  <cols>
    <col min="1" max="1" width="17" style="76" bestFit="1" customWidth="1"/>
    <col min="2" max="2" width="13.5703125" style="172" customWidth="1"/>
    <col min="3" max="3" width="9" style="77" hidden="1" customWidth="1"/>
    <col min="4" max="4" width="10.85546875" style="77" hidden="1" customWidth="1"/>
    <col min="5" max="5" width="11.7109375" style="77" customWidth="1"/>
    <col min="6" max="9" width="11.7109375" style="77" hidden="1" customWidth="1"/>
    <col min="10" max="10" width="11.7109375" style="114" customWidth="1"/>
    <col min="11" max="11" width="47" style="76" hidden="1" customWidth="1"/>
    <col min="12" max="12" width="46" style="76" hidden="1" customWidth="1"/>
    <col min="13" max="13" width="12.5703125" style="77" hidden="1" customWidth="1"/>
    <col min="14" max="14" width="0" style="142" hidden="1" customWidth="1"/>
    <col min="15" max="15" width="0" style="128" hidden="1" customWidth="1"/>
    <col min="16" max="16" width="15.28515625" style="163" customWidth="1"/>
    <col min="17" max="17" width="15.140625" style="164" customWidth="1"/>
    <col min="18" max="204" width="9.140625" style="23"/>
    <col min="205" max="205" width="8.7109375" style="23" bestFit="1" customWidth="1"/>
    <col min="206" max="206" width="8.28515625" style="23" customWidth="1"/>
    <col min="207" max="207" width="12.7109375" style="23" customWidth="1"/>
    <col min="208" max="208" width="17" style="23" bestFit="1" customWidth="1"/>
    <col min="209" max="209" width="13.5703125" style="23" customWidth="1"/>
    <col min="210" max="210" width="17.7109375" style="23" customWidth="1"/>
    <col min="211" max="211" width="13.42578125" style="23" customWidth="1"/>
    <col min="212" max="212" width="11.42578125" style="23" customWidth="1"/>
    <col min="213" max="213" width="10.85546875" style="23" customWidth="1"/>
    <col min="214" max="214" width="9" style="23" bestFit="1" customWidth="1"/>
    <col min="215" max="215" width="10.85546875" style="23" customWidth="1"/>
    <col min="216" max="216" width="11" style="23" customWidth="1"/>
    <col min="217" max="217" width="43.5703125" style="23" customWidth="1"/>
    <col min="218" max="218" width="39.42578125" style="23" customWidth="1"/>
    <col min="219" max="219" width="9.140625" style="23"/>
    <col min="220" max="220" width="12.140625" style="23" customWidth="1"/>
    <col min="221" max="222" width="9.140625" style="23"/>
    <col min="223" max="223" width="11.85546875" style="23" customWidth="1"/>
    <col min="224" max="224" width="9.140625" style="23"/>
    <col min="225" max="225" width="13.5703125" style="23" customWidth="1"/>
    <col min="226" max="226" width="9" style="23" customWidth="1"/>
    <col min="227" max="227" width="10.85546875" style="23" customWidth="1"/>
    <col min="228" max="229" width="9.140625" style="23"/>
    <col min="230" max="230" width="11" style="23" customWidth="1"/>
    <col min="231" max="231" width="13.140625" style="23" customWidth="1"/>
    <col min="232" max="232" width="11.28515625" style="23" customWidth="1"/>
    <col min="233" max="235" width="9.140625" style="23"/>
    <col min="236" max="236" width="14.42578125" style="23" customWidth="1"/>
    <col min="237" max="237" width="10.5703125" style="23" customWidth="1"/>
    <col min="238" max="460" width="9.140625" style="23"/>
    <col min="461" max="461" width="8.7109375" style="23" bestFit="1" customWidth="1"/>
    <col min="462" max="462" width="8.28515625" style="23" customWidth="1"/>
    <col min="463" max="463" width="12.7109375" style="23" customWidth="1"/>
    <col min="464" max="464" width="17" style="23" bestFit="1" customWidth="1"/>
    <col min="465" max="465" width="13.5703125" style="23" customWidth="1"/>
    <col min="466" max="466" width="17.7109375" style="23" customWidth="1"/>
    <col min="467" max="467" width="13.42578125" style="23" customWidth="1"/>
    <col min="468" max="468" width="11.42578125" style="23" customWidth="1"/>
    <col min="469" max="469" width="10.85546875" style="23" customWidth="1"/>
    <col min="470" max="470" width="9" style="23" bestFit="1" customWidth="1"/>
    <col min="471" max="471" width="10.85546875" style="23" customWidth="1"/>
    <col min="472" max="472" width="11" style="23" customWidth="1"/>
    <col min="473" max="473" width="43.5703125" style="23" customWidth="1"/>
    <col min="474" max="474" width="39.42578125" style="23" customWidth="1"/>
    <col min="475" max="475" width="9.140625" style="23"/>
    <col min="476" max="476" width="12.140625" style="23" customWidth="1"/>
    <col min="477" max="478" width="9.140625" style="23"/>
    <col min="479" max="479" width="11.85546875" style="23" customWidth="1"/>
    <col min="480" max="480" width="9.140625" style="23"/>
    <col min="481" max="481" width="13.5703125" style="23" customWidth="1"/>
    <col min="482" max="482" width="9" style="23" customWidth="1"/>
    <col min="483" max="483" width="10.85546875" style="23" customWidth="1"/>
    <col min="484" max="485" width="9.140625" style="23"/>
    <col min="486" max="486" width="11" style="23" customWidth="1"/>
    <col min="487" max="487" width="13.140625" style="23" customWidth="1"/>
    <col min="488" max="488" width="11.28515625" style="23" customWidth="1"/>
    <col min="489" max="491" width="9.140625" style="23"/>
    <col min="492" max="492" width="14.42578125" style="23" customWidth="1"/>
    <col min="493" max="493" width="10.5703125" style="23" customWidth="1"/>
    <col min="494" max="716" width="9.140625" style="23"/>
    <col min="717" max="717" width="8.7109375" style="23" bestFit="1" customWidth="1"/>
    <col min="718" max="718" width="8.28515625" style="23" customWidth="1"/>
    <col min="719" max="719" width="12.7109375" style="23" customWidth="1"/>
    <col min="720" max="720" width="17" style="23" bestFit="1" customWidth="1"/>
    <col min="721" max="721" width="13.5703125" style="23" customWidth="1"/>
    <col min="722" max="722" width="17.7109375" style="23" customWidth="1"/>
    <col min="723" max="723" width="13.42578125" style="23" customWidth="1"/>
    <col min="724" max="724" width="11.42578125" style="23" customWidth="1"/>
    <col min="725" max="725" width="10.85546875" style="23" customWidth="1"/>
    <col min="726" max="726" width="9" style="23" bestFit="1" customWidth="1"/>
    <col min="727" max="727" width="10.85546875" style="23" customWidth="1"/>
    <col min="728" max="728" width="11" style="23" customWidth="1"/>
    <col min="729" max="729" width="43.5703125" style="23" customWidth="1"/>
    <col min="730" max="730" width="39.42578125" style="23" customWidth="1"/>
    <col min="731" max="731" width="9.140625" style="23"/>
    <col min="732" max="732" width="12.140625" style="23" customWidth="1"/>
    <col min="733" max="734" width="9.140625" style="23"/>
    <col min="735" max="735" width="11.85546875" style="23" customWidth="1"/>
    <col min="736" max="736" width="9.140625" style="23"/>
    <col min="737" max="737" width="13.5703125" style="23" customWidth="1"/>
    <col min="738" max="738" width="9" style="23" customWidth="1"/>
    <col min="739" max="739" width="10.85546875" style="23" customWidth="1"/>
    <col min="740" max="741" width="9.140625" style="23"/>
    <col min="742" max="742" width="11" style="23" customWidth="1"/>
    <col min="743" max="743" width="13.140625" style="23" customWidth="1"/>
    <col min="744" max="744" width="11.28515625" style="23" customWidth="1"/>
    <col min="745" max="747" width="9.140625" style="23"/>
    <col min="748" max="748" width="14.42578125" style="23" customWidth="1"/>
    <col min="749" max="749" width="10.5703125" style="23" customWidth="1"/>
    <col min="750" max="972" width="9.140625" style="23"/>
    <col min="973" max="973" width="8.7109375" style="23" bestFit="1" customWidth="1"/>
    <col min="974" max="974" width="8.28515625" style="23" customWidth="1"/>
    <col min="975" max="975" width="12.7109375" style="23" customWidth="1"/>
    <col min="976" max="976" width="17" style="23" bestFit="1" customWidth="1"/>
    <col min="977" max="977" width="13.5703125" style="23" customWidth="1"/>
    <col min="978" max="978" width="17.7109375" style="23" customWidth="1"/>
    <col min="979" max="979" width="13.42578125" style="23" customWidth="1"/>
    <col min="980" max="980" width="11.42578125" style="23" customWidth="1"/>
    <col min="981" max="981" width="10.85546875" style="23" customWidth="1"/>
    <col min="982" max="982" width="9" style="23" bestFit="1" customWidth="1"/>
    <col min="983" max="983" width="10.85546875" style="23" customWidth="1"/>
    <col min="984" max="984" width="11" style="23" customWidth="1"/>
    <col min="985" max="985" width="43.5703125" style="23" customWidth="1"/>
    <col min="986" max="986" width="39.42578125" style="23" customWidth="1"/>
    <col min="987" max="987" width="9.140625" style="23"/>
    <col min="988" max="988" width="12.140625" style="23" customWidth="1"/>
    <col min="989" max="990" width="9.140625" style="23"/>
    <col min="991" max="991" width="11.85546875" style="23" customWidth="1"/>
    <col min="992" max="992" width="9.140625" style="23"/>
    <col min="993" max="993" width="13.5703125" style="23" customWidth="1"/>
    <col min="994" max="994" width="9" style="23" customWidth="1"/>
    <col min="995" max="995" width="10.85546875" style="23" customWidth="1"/>
    <col min="996" max="997" width="9.140625" style="23"/>
    <col min="998" max="998" width="11" style="23" customWidth="1"/>
    <col min="999" max="999" width="13.140625" style="23" customWidth="1"/>
    <col min="1000" max="1000" width="11.28515625" style="23" customWidth="1"/>
    <col min="1001" max="1003" width="9.140625" style="23"/>
    <col min="1004" max="1004" width="14.42578125" style="23" customWidth="1"/>
    <col min="1005" max="1005" width="10.5703125" style="23" customWidth="1"/>
    <col min="1006" max="1228" width="9.140625" style="23"/>
    <col min="1229" max="1229" width="8.7109375" style="23" bestFit="1" customWidth="1"/>
    <col min="1230" max="1230" width="8.28515625" style="23" customWidth="1"/>
    <col min="1231" max="1231" width="12.7109375" style="23" customWidth="1"/>
    <col min="1232" max="1232" width="17" style="23" bestFit="1" customWidth="1"/>
    <col min="1233" max="1233" width="13.5703125" style="23" customWidth="1"/>
    <col min="1234" max="1234" width="17.7109375" style="23" customWidth="1"/>
    <col min="1235" max="1235" width="13.42578125" style="23" customWidth="1"/>
    <col min="1236" max="1236" width="11.42578125" style="23" customWidth="1"/>
    <col min="1237" max="1237" width="10.85546875" style="23" customWidth="1"/>
    <col min="1238" max="1238" width="9" style="23" bestFit="1" customWidth="1"/>
    <col min="1239" max="1239" width="10.85546875" style="23" customWidth="1"/>
    <col min="1240" max="1240" width="11" style="23" customWidth="1"/>
    <col min="1241" max="1241" width="43.5703125" style="23" customWidth="1"/>
    <col min="1242" max="1242" width="39.42578125" style="23" customWidth="1"/>
    <col min="1243" max="1243" width="9.140625" style="23"/>
    <col min="1244" max="1244" width="12.140625" style="23" customWidth="1"/>
    <col min="1245" max="1246" width="9.140625" style="23"/>
    <col min="1247" max="1247" width="11.85546875" style="23" customWidth="1"/>
    <col min="1248" max="1248" width="9.140625" style="23"/>
    <col min="1249" max="1249" width="13.5703125" style="23" customWidth="1"/>
    <col min="1250" max="1250" width="9" style="23" customWidth="1"/>
    <col min="1251" max="1251" width="10.85546875" style="23" customWidth="1"/>
    <col min="1252" max="1253" width="9.140625" style="23"/>
    <col min="1254" max="1254" width="11" style="23" customWidth="1"/>
    <col min="1255" max="1255" width="13.140625" style="23" customWidth="1"/>
    <col min="1256" max="1256" width="11.28515625" style="23" customWidth="1"/>
    <col min="1257" max="1259" width="9.140625" style="23"/>
    <col min="1260" max="1260" width="14.42578125" style="23" customWidth="1"/>
    <col min="1261" max="1261" width="10.5703125" style="23" customWidth="1"/>
    <col min="1262" max="1484" width="9.140625" style="23"/>
    <col min="1485" max="1485" width="8.7109375" style="23" bestFit="1" customWidth="1"/>
    <col min="1486" max="1486" width="8.28515625" style="23" customWidth="1"/>
    <col min="1487" max="1487" width="12.7109375" style="23" customWidth="1"/>
    <col min="1488" max="1488" width="17" style="23" bestFit="1" customWidth="1"/>
    <col min="1489" max="1489" width="13.5703125" style="23" customWidth="1"/>
    <col min="1490" max="1490" width="17.7109375" style="23" customWidth="1"/>
    <col min="1491" max="1491" width="13.42578125" style="23" customWidth="1"/>
    <col min="1492" max="1492" width="11.42578125" style="23" customWidth="1"/>
    <col min="1493" max="1493" width="10.85546875" style="23" customWidth="1"/>
    <col min="1494" max="1494" width="9" style="23" bestFit="1" customWidth="1"/>
    <col min="1495" max="1495" width="10.85546875" style="23" customWidth="1"/>
    <col min="1496" max="1496" width="11" style="23" customWidth="1"/>
    <col min="1497" max="1497" width="43.5703125" style="23" customWidth="1"/>
    <col min="1498" max="1498" width="39.42578125" style="23" customWidth="1"/>
    <col min="1499" max="1499" width="9.140625" style="23"/>
    <col min="1500" max="1500" width="12.140625" style="23" customWidth="1"/>
    <col min="1501" max="1502" width="9.140625" style="23"/>
    <col min="1503" max="1503" width="11.85546875" style="23" customWidth="1"/>
    <col min="1504" max="1504" width="9.140625" style="23"/>
    <col min="1505" max="1505" width="13.5703125" style="23" customWidth="1"/>
    <col min="1506" max="1506" width="9" style="23" customWidth="1"/>
    <col min="1507" max="1507" width="10.85546875" style="23" customWidth="1"/>
    <col min="1508" max="1509" width="9.140625" style="23"/>
    <col min="1510" max="1510" width="11" style="23" customWidth="1"/>
    <col min="1511" max="1511" width="13.140625" style="23" customWidth="1"/>
    <col min="1512" max="1512" width="11.28515625" style="23" customWidth="1"/>
    <col min="1513" max="1515" width="9.140625" style="23"/>
    <col min="1516" max="1516" width="14.42578125" style="23" customWidth="1"/>
    <col min="1517" max="1517" width="10.5703125" style="23" customWidth="1"/>
    <col min="1518" max="1740" width="9.140625" style="23"/>
    <col min="1741" max="1741" width="8.7109375" style="23" bestFit="1" customWidth="1"/>
    <col min="1742" max="1742" width="8.28515625" style="23" customWidth="1"/>
    <col min="1743" max="1743" width="12.7109375" style="23" customWidth="1"/>
    <col min="1744" max="1744" width="17" style="23" bestFit="1" customWidth="1"/>
    <col min="1745" max="1745" width="13.5703125" style="23" customWidth="1"/>
    <col min="1746" max="1746" width="17.7109375" style="23" customWidth="1"/>
    <col min="1747" max="1747" width="13.42578125" style="23" customWidth="1"/>
    <col min="1748" max="1748" width="11.42578125" style="23" customWidth="1"/>
    <col min="1749" max="1749" width="10.85546875" style="23" customWidth="1"/>
    <col min="1750" max="1750" width="9" style="23" bestFit="1" customWidth="1"/>
    <col min="1751" max="1751" width="10.85546875" style="23" customWidth="1"/>
    <col min="1752" max="1752" width="11" style="23" customWidth="1"/>
    <col min="1753" max="1753" width="43.5703125" style="23" customWidth="1"/>
    <col min="1754" max="1754" width="39.42578125" style="23" customWidth="1"/>
    <col min="1755" max="1755" width="9.140625" style="23"/>
    <col min="1756" max="1756" width="12.140625" style="23" customWidth="1"/>
    <col min="1757" max="1758" width="9.140625" style="23"/>
    <col min="1759" max="1759" width="11.85546875" style="23" customWidth="1"/>
    <col min="1760" max="1760" width="9.140625" style="23"/>
    <col min="1761" max="1761" width="13.5703125" style="23" customWidth="1"/>
    <col min="1762" max="1762" width="9" style="23" customWidth="1"/>
    <col min="1763" max="1763" width="10.85546875" style="23" customWidth="1"/>
    <col min="1764" max="1765" width="9.140625" style="23"/>
    <col min="1766" max="1766" width="11" style="23" customWidth="1"/>
    <col min="1767" max="1767" width="13.140625" style="23" customWidth="1"/>
    <col min="1768" max="1768" width="11.28515625" style="23" customWidth="1"/>
    <col min="1769" max="1771" width="9.140625" style="23"/>
    <col min="1772" max="1772" width="14.42578125" style="23" customWidth="1"/>
    <col min="1773" max="1773" width="10.5703125" style="23" customWidth="1"/>
    <col min="1774" max="1996" width="9.140625" style="23"/>
    <col min="1997" max="1997" width="8.7109375" style="23" bestFit="1" customWidth="1"/>
    <col min="1998" max="1998" width="8.28515625" style="23" customWidth="1"/>
    <col min="1999" max="1999" width="12.7109375" style="23" customWidth="1"/>
    <col min="2000" max="2000" width="17" style="23" bestFit="1" customWidth="1"/>
    <col min="2001" max="2001" width="13.5703125" style="23" customWidth="1"/>
    <col min="2002" max="2002" width="17.7109375" style="23" customWidth="1"/>
    <col min="2003" max="2003" width="13.42578125" style="23" customWidth="1"/>
    <col min="2004" max="2004" width="11.42578125" style="23" customWidth="1"/>
    <col min="2005" max="2005" width="10.85546875" style="23" customWidth="1"/>
    <col min="2006" max="2006" width="9" style="23" bestFit="1" customWidth="1"/>
    <col min="2007" max="2007" width="10.85546875" style="23" customWidth="1"/>
    <col min="2008" max="2008" width="11" style="23" customWidth="1"/>
    <col min="2009" max="2009" width="43.5703125" style="23" customWidth="1"/>
    <col min="2010" max="2010" width="39.42578125" style="23" customWidth="1"/>
    <col min="2011" max="2011" width="9.140625" style="23"/>
    <col min="2012" max="2012" width="12.140625" style="23" customWidth="1"/>
    <col min="2013" max="2014" width="9.140625" style="23"/>
    <col min="2015" max="2015" width="11.85546875" style="23" customWidth="1"/>
    <col min="2016" max="2016" width="9.140625" style="23"/>
    <col min="2017" max="2017" width="13.5703125" style="23" customWidth="1"/>
    <col min="2018" max="2018" width="9" style="23" customWidth="1"/>
    <col min="2019" max="2019" width="10.85546875" style="23" customWidth="1"/>
    <col min="2020" max="2021" width="9.140625" style="23"/>
    <col min="2022" max="2022" width="11" style="23" customWidth="1"/>
    <col min="2023" max="2023" width="13.140625" style="23" customWidth="1"/>
    <col min="2024" max="2024" width="11.28515625" style="23" customWidth="1"/>
    <col min="2025" max="2027" width="9.140625" style="23"/>
    <col min="2028" max="2028" width="14.42578125" style="23" customWidth="1"/>
    <col min="2029" max="2029" width="10.5703125" style="23" customWidth="1"/>
    <col min="2030" max="2252" width="9.140625" style="23"/>
    <col min="2253" max="2253" width="8.7109375" style="23" bestFit="1" customWidth="1"/>
    <col min="2254" max="2254" width="8.28515625" style="23" customWidth="1"/>
    <col min="2255" max="2255" width="12.7109375" style="23" customWidth="1"/>
    <col min="2256" max="2256" width="17" style="23" bestFit="1" customWidth="1"/>
    <col min="2257" max="2257" width="13.5703125" style="23" customWidth="1"/>
    <col min="2258" max="2258" width="17.7109375" style="23" customWidth="1"/>
    <col min="2259" max="2259" width="13.42578125" style="23" customWidth="1"/>
    <col min="2260" max="2260" width="11.42578125" style="23" customWidth="1"/>
    <col min="2261" max="2261" width="10.85546875" style="23" customWidth="1"/>
    <col min="2262" max="2262" width="9" style="23" bestFit="1" customWidth="1"/>
    <col min="2263" max="2263" width="10.85546875" style="23" customWidth="1"/>
    <col min="2264" max="2264" width="11" style="23" customWidth="1"/>
    <col min="2265" max="2265" width="43.5703125" style="23" customWidth="1"/>
    <col min="2266" max="2266" width="39.42578125" style="23" customWidth="1"/>
    <col min="2267" max="2267" width="9.140625" style="23"/>
    <col min="2268" max="2268" width="12.140625" style="23" customWidth="1"/>
    <col min="2269" max="2270" width="9.140625" style="23"/>
    <col min="2271" max="2271" width="11.85546875" style="23" customWidth="1"/>
    <col min="2272" max="2272" width="9.140625" style="23"/>
    <col min="2273" max="2273" width="13.5703125" style="23" customWidth="1"/>
    <col min="2274" max="2274" width="9" style="23" customWidth="1"/>
    <col min="2275" max="2275" width="10.85546875" style="23" customWidth="1"/>
    <col min="2276" max="2277" width="9.140625" style="23"/>
    <col min="2278" max="2278" width="11" style="23" customWidth="1"/>
    <col min="2279" max="2279" width="13.140625" style="23" customWidth="1"/>
    <col min="2280" max="2280" width="11.28515625" style="23" customWidth="1"/>
    <col min="2281" max="2283" width="9.140625" style="23"/>
    <col min="2284" max="2284" width="14.42578125" style="23" customWidth="1"/>
    <col min="2285" max="2285" width="10.5703125" style="23" customWidth="1"/>
    <col min="2286" max="2508" width="9.140625" style="23"/>
    <col min="2509" max="2509" width="8.7109375" style="23" bestFit="1" customWidth="1"/>
    <col min="2510" max="2510" width="8.28515625" style="23" customWidth="1"/>
    <col min="2511" max="2511" width="12.7109375" style="23" customWidth="1"/>
    <col min="2512" max="2512" width="17" style="23" bestFit="1" customWidth="1"/>
    <col min="2513" max="2513" width="13.5703125" style="23" customWidth="1"/>
    <col min="2514" max="2514" width="17.7109375" style="23" customWidth="1"/>
    <col min="2515" max="2515" width="13.42578125" style="23" customWidth="1"/>
    <col min="2516" max="2516" width="11.42578125" style="23" customWidth="1"/>
    <col min="2517" max="2517" width="10.85546875" style="23" customWidth="1"/>
    <col min="2518" max="2518" width="9" style="23" bestFit="1" customWidth="1"/>
    <col min="2519" max="2519" width="10.85546875" style="23" customWidth="1"/>
    <col min="2520" max="2520" width="11" style="23" customWidth="1"/>
    <col min="2521" max="2521" width="43.5703125" style="23" customWidth="1"/>
    <col min="2522" max="2522" width="39.42578125" style="23" customWidth="1"/>
    <col min="2523" max="2523" width="9.140625" style="23"/>
    <col min="2524" max="2524" width="12.140625" style="23" customWidth="1"/>
    <col min="2525" max="2526" width="9.140625" style="23"/>
    <col min="2527" max="2527" width="11.85546875" style="23" customWidth="1"/>
    <col min="2528" max="2528" width="9.140625" style="23"/>
    <col min="2529" max="2529" width="13.5703125" style="23" customWidth="1"/>
    <col min="2530" max="2530" width="9" style="23" customWidth="1"/>
    <col min="2531" max="2531" width="10.85546875" style="23" customWidth="1"/>
    <col min="2532" max="2533" width="9.140625" style="23"/>
    <col min="2534" max="2534" width="11" style="23" customWidth="1"/>
    <col min="2535" max="2535" width="13.140625" style="23" customWidth="1"/>
    <col min="2536" max="2536" width="11.28515625" style="23" customWidth="1"/>
    <col min="2537" max="2539" width="9.140625" style="23"/>
    <col min="2540" max="2540" width="14.42578125" style="23" customWidth="1"/>
    <col min="2541" max="2541" width="10.5703125" style="23" customWidth="1"/>
    <col min="2542" max="2764" width="9.140625" style="23"/>
    <col min="2765" max="2765" width="8.7109375" style="23" bestFit="1" customWidth="1"/>
    <col min="2766" max="2766" width="8.28515625" style="23" customWidth="1"/>
    <col min="2767" max="2767" width="12.7109375" style="23" customWidth="1"/>
    <col min="2768" max="2768" width="17" style="23" bestFit="1" customWidth="1"/>
    <col min="2769" max="2769" width="13.5703125" style="23" customWidth="1"/>
    <col min="2770" max="2770" width="17.7109375" style="23" customWidth="1"/>
    <col min="2771" max="2771" width="13.42578125" style="23" customWidth="1"/>
    <col min="2772" max="2772" width="11.42578125" style="23" customWidth="1"/>
    <col min="2773" max="2773" width="10.85546875" style="23" customWidth="1"/>
    <col min="2774" max="2774" width="9" style="23" bestFit="1" customWidth="1"/>
    <col min="2775" max="2775" width="10.85546875" style="23" customWidth="1"/>
    <col min="2776" max="2776" width="11" style="23" customWidth="1"/>
    <col min="2777" max="2777" width="43.5703125" style="23" customWidth="1"/>
    <col min="2778" max="2778" width="39.42578125" style="23" customWidth="1"/>
    <col min="2779" max="2779" width="9.140625" style="23"/>
    <col min="2780" max="2780" width="12.140625" style="23" customWidth="1"/>
    <col min="2781" max="2782" width="9.140625" style="23"/>
    <col min="2783" max="2783" width="11.85546875" style="23" customWidth="1"/>
    <col min="2784" max="2784" width="9.140625" style="23"/>
    <col min="2785" max="2785" width="13.5703125" style="23" customWidth="1"/>
    <col min="2786" max="2786" width="9" style="23" customWidth="1"/>
    <col min="2787" max="2787" width="10.85546875" style="23" customWidth="1"/>
    <col min="2788" max="2789" width="9.140625" style="23"/>
    <col min="2790" max="2790" width="11" style="23" customWidth="1"/>
    <col min="2791" max="2791" width="13.140625" style="23" customWidth="1"/>
    <col min="2792" max="2792" width="11.28515625" style="23" customWidth="1"/>
    <col min="2793" max="2795" width="9.140625" style="23"/>
    <col min="2796" max="2796" width="14.42578125" style="23" customWidth="1"/>
    <col min="2797" max="2797" width="10.5703125" style="23" customWidth="1"/>
    <col min="2798" max="3020" width="9.140625" style="23"/>
    <col min="3021" max="3021" width="8.7109375" style="23" bestFit="1" customWidth="1"/>
    <col min="3022" max="3022" width="8.28515625" style="23" customWidth="1"/>
    <col min="3023" max="3023" width="12.7109375" style="23" customWidth="1"/>
    <col min="3024" max="3024" width="17" style="23" bestFit="1" customWidth="1"/>
    <col min="3025" max="3025" width="13.5703125" style="23" customWidth="1"/>
    <col min="3026" max="3026" width="17.7109375" style="23" customWidth="1"/>
    <col min="3027" max="3027" width="13.42578125" style="23" customWidth="1"/>
    <col min="3028" max="3028" width="11.42578125" style="23" customWidth="1"/>
    <col min="3029" max="3029" width="10.85546875" style="23" customWidth="1"/>
    <col min="3030" max="3030" width="9" style="23" bestFit="1" customWidth="1"/>
    <col min="3031" max="3031" width="10.85546875" style="23" customWidth="1"/>
    <col min="3032" max="3032" width="11" style="23" customWidth="1"/>
    <col min="3033" max="3033" width="43.5703125" style="23" customWidth="1"/>
    <col min="3034" max="3034" width="39.42578125" style="23" customWidth="1"/>
    <col min="3035" max="3035" width="9.140625" style="23"/>
    <col min="3036" max="3036" width="12.140625" style="23" customWidth="1"/>
    <col min="3037" max="3038" width="9.140625" style="23"/>
    <col min="3039" max="3039" width="11.85546875" style="23" customWidth="1"/>
    <col min="3040" max="3040" width="9.140625" style="23"/>
    <col min="3041" max="3041" width="13.5703125" style="23" customWidth="1"/>
    <col min="3042" max="3042" width="9" style="23" customWidth="1"/>
    <col min="3043" max="3043" width="10.85546875" style="23" customWidth="1"/>
    <col min="3044" max="3045" width="9.140625" style="23"/>
    <col min="3046" max="3046" width="11" style="23" customWidth="1"/>
    <col min="3047" max="3047" width="13.140625" style="23" customWidth="1"/>
    <col min="3048" max="3048" width="11.28515625" style="23" customWidth="1"/>
    <col min="3049" max="3051" width="9.140625" style="23"/>
    <col min="3052" max="3052" width="14.42578125" style="23" customWidth="1"/>
    <col min="3053" max="3053" width="10.5703125" style="23" customWidth="1"/>
    <col min="3054" max="3276" width="9.140625" style="23"/>
    <col min="3277" max="3277" width="8.7109375" style="23" bestFit="1" customWidth="1"/>
    <col min="3278" max="3278" width="8.28515625" style="23" customWidth="1"/>
    <col min="3279" max="3279" width="12.7109375" style="23" customWidth="1"/>
    <col min="3280" max="3280" width="17" style="23" bestFit="1" customWidth="1"/>
    <col min="3281" max="3281" width="13.5703125" style="23" customWidth="1"/>
    <col min="3282" max="3282" width="17.7109375" style="23" customWidth="1"/>
    <col min="3283" max="3283" width="13.42578125" style="23" customWidth="1"/>
    <col min="3284" max="3284" width="11.42578125" style="23" customWidth="1"/>
    <col min="3285" max="3285" width="10.85546875" style="23" customWidth="1"/>
    <col min="3286" max="3286" width="9" style="23" bestFit="1" customWidth="1"/>
    <col min="3287" max="3287" width="10.85546875" style="23" customWidth="1"/>
    <col min="3288" max="3288" width="11" style="23" customWidth="1"/>
    <col min="3289" max="3289" width="43.5703125" style="23" customWidth="1"/>
    <col min="3290" max="3290" width="39.42578125" style="23" customWidth="1"/>
    <col min="3291" max="3291" width="9.140625" style="23"/>
    <col min="3292" max="3292" width="12.140625" style="23" customWidth="1"/>
    <col min="3293" max="3294" width="9.140625" style="23"/>
    <col min="3295" max="3295" width="11.85546875" style="23" customWidth="1"/>
    <col min="3296" max="3296" width="9.140625" style="23"/>
    <col min="3297" max="3297" width="13.5703125" style="23" customWidth="1"/>
    <col min="3298" max="3298" width="9" style="23" customWidth="1"/>
    <col min="3299" max="3299" width="10.85546875" style="23" customWidth="1"/>
    <col min="3300" max="3301" width="9.140625" style="23"/>
    <col min="3302" max="3302" width="11" style="23" customWidth="1"/>
    <col min="3303" max="3303" width="13.140625" style="23" customWidth="1"/>
    <col min="3304" max="3304" width="11.28515625" style="23" customWidth="1"/>
    <col min="3305" max="3307" width="9.140625" style="23"/>
    <col min="3308" max="3308" width="14.42578125" style="23" customWidth="1"/>
    <col min="3309" max="3309" width="10.5703125" style="23" customWidth="1"/>
    <col min="3310" max="3532" width="9.140625" style="23"/>
    <col min="3533" max="3533" width="8.7109375" style="23" bestFit="1" customWidth="1"/>
    <col min="3534" max="3534" width="8.28515625" style="23" customWidth="1"/>
    <col min="3535" max="3535" width="12.7109375" style="23" customWidth="1"/>
    <col min="3536" max="3536" width="17" style="23" bestFit="1" customWidth="1"/>
    <col min="3537" max="3537" width="13.5703125" style="23" customWidth="1"/>
    <col min="3538" max="3538" width="17.7109375" style="23" customWidth="1"/>
    <col min="3539" max="3539" width="13.42578125" style="23" customWidth="1"/>
    <col min="3540" max="3540" width="11.42578125" style="23" customWidth="1"/>
    <col min="3541" max="3541" width="10.85546875" style="23" customWidth="1"/>
    <col min="3542" max="3542" width="9" style="23" bestFit="1" customWidth="1"/>
    <col min="3543" max="3543" width="10.85546875" style="23" customWidth="1"/>
    <col min="3544" max="3544" width="11" style="23" customWidth="1"/>
    <col min="3545" max="3545" width="43.5703125" style="23" customWidth="1"/>
    <col min="3546" max="3546" width="39.42578125" style="23" customWidth="1"/>
    <col min="3547" max="3547" width="9.140625" style="23"/>
    <col min="3548" max="3548" width="12.140625" style="23" customWidth="1"/>
    <col min="3549" max="3550" width="9.140625" style="23"/>
    <col min="3551" max="3551" width="11.85546875" style="23" customWidth="1"/>
    <col min="3552" max="3552" width="9.140625" style="23"/>
    <col min="3553" max="3553" width="13.5703125" style="23" customWidth="1"/>
    <col min="3554" max="3554" width="9" style="23" customWidth="1"/>
    <col min="3555" max="3555" width="10.85546875" style="23" customWidth="1"/>
    <col min="3556" max="3557" width="9.140625" style="23"/>
    <col min="3558" max="3558" width="11" style="23" customWidth="1"/>
    <col min="3559" max="3559" width="13.140625" style="23" customWidth="1"/>
    <col min="3560" max="3560" width="11.28515625" style="23" customWidth="1"/>
    <col min="3561" max="3563" width="9.140625" style="23"/>
    <col min="3564" max="3564" width="14.42578125" style="23" customWidth="1"/>
    <col min="3565" max="3565" width="10.5703125" style="23" customWidth="1"/>
    <col min="3566" max="3788" width="9.140625" style="23"/>
    <col min="3789" max="3789" width="8.7109375" style="23" bestFit="1" customWidth="1"/>
    <col min="3790" max="3790" width="8.28515625" style="23" customWidth="1"/>
    <col min="3791" max="3791" width="12.7109375" style="23" customWidth="1"/>
    <col min="3792" max="3792" width="17" style="23" bestFit="1" customWidth="1"/>
    <col min="3793" max="3793" width="13.5703125" style="23" customWidth="1"/>
    <col min="3794" max="3794" width="17.7109375" style="23" customWidth="1"/>
    <col min="3795" max="3795" width="13.42578125" style="23" customWidth="1"/>
    <col min="3796" max="3796" width="11.42578125" style="23" customWidth="1"/>
    <col min="3797" max="3797" width="10.85546875" style="23" customWidth="1"/>
    <col min="3798" max="3798" width="9" style="23" bestFit="1" customWidth="1"/>
    <col min="3799" max="3799" width="10.85546875" style="23" customWidth="1"/>
    <col min="3800" max="3800" width="11" style="23" customWidth="1"/>
    <col min="3801" max="3801" width="43.5703125" style="23" customWidth="1"/>
    <col min="3802" max="3802" width="39.42578125" style="23" customWidth="1"/>
    <col min="3803" max="3803" width="9.140625" style="23"/>
    <col min="3804" max="3804" width="12.140625" style="23" customWidth="1"/>
    <col min="3805" max="3806" width="9.140625" style="23"/>
    <col min="3807" max="3807" width="11.85546875" style="23" customWidth="1"/>
    <col min="3808" max="3808" width="9.140625" style="23"/>
    <col min="3809" max="3809" width="13.5703125" style="23" customWidth="1"/>
    <col min="3810" max="3810" width="9" style="23" customWidth="1"/>
    <col min="3811" max="3811" width="10.85546875" style="23" customWidth="1"/>
    <col min="3812" max="3813" width="9.140625" style="23"/>
    <col min="3814" max="3814" width="11" style="23" customWidth="1"/>
    <col min="3815" max="3815" width="13.140625" style="23" customWidth="1"/>
    <col min="3816" max="3816" width="11.28515625" style="23" customWidth="1"/>
    <col min="3817" max="3819" width="9.140625" style="23"/>
    <col min="3820" max="3820" width="14.42578125" style="23" customWidth="1"/>
    <col min="3821" max="3821" width="10.5703125" style="23" customWidth="1"/>
    <col min="3822" max="4044" width="9.140625" style="23"/>
    <col min="4045" max="4045" width="8.7109375" style="23" bestFit="1" customWidth="1"/>
    <col min="4046" max="4046" width="8.28515625" style="23" customWidth="1"/>
    <col min="4047" max="4047" width="12.7109375" style="23" customWidth="1"/>
    <col min="4048" max="4048" width="17" style="23" bestFit="1" customWidth="1"/>
    <col min="4049" max="4049" width="13.5703125" style="23" customWidth="1"/>
    <col min="4050" max="4050" width="17.7109375" style="23" customWidth="1"/>
    <col min="4051" max="4051" width="13.42578125" style="23" customWidth="1"/>
    <col min="4052" max="4052" width="11.42578125" style="23" customWidth="1"/>
    <col min="4053" max="4053" width="10.85546875" style="23" customWidth="1"/>
    <col min="4054" max="4054" width="9" style="23" bestFit="1" customWidth="1"/>
    <col min="4055" max="4055" width="10.85546875" style="23" customWidth="1"/>
    <col min="4056" max="4056" width="11" style="23" customWidth="1"/>
    <col min="4057" max="4057" width="43.5703125" style="23" customWidth="1"/>
    <col min="4058" max="4058" width="39.42578125" style="23" customWidth="1"/>
    <col min="4059" max="4059" width="9.140625" style="23"/>
    <col min="4060" max="4060" width="12.140625" style="23" customWidth="1"/>
    <col min="4061" max="4062" width="9.140625" style="23"/>
    <col min="4063" max="4063" width="11.85546875" style="23" customWidth="1"/>
    <col min="4064" max="4064" width="9.140625" style="23"/>
    <col min="4065" max="4065" width="13.5703125" style="23" customWidth="1"/>
    <col min="4066" max="4066" width="9" style="23" customWidth="1"/>
    <col min="4067" max="4067" width="10.85546875" style="23" customWidth="1"/>
    <col min="4068" max="4069" width="9.140625" style="23"/>
    <col min="4070" max="4070" width="11" style="23" customWidth="1"/>
    <col min="4071" max="4071" width="13.140625" style="23" customWidth="1"/>
    <col min="4072" max="4072" width="11.28515625" style="23" customWidth="1"/>
    <col min="4073" max="4075" width="9.140625" style="23"/>
    <col min="4076" max="4076" width="14.42578125" style="23" customWidth="1"/>
    <col min="4077" max="4077" width="10.5703125" style="23" customWidth="1"/>
    <col min="4078" max="4300" width="9.140625" style="23"/>
    <col min="4301" max="4301" width="8.7109375" style="23" bestFit="1" customWidth="1"/>
    <col min="4302" max="4302" width="8.28515625" style="23" customWidth="1"/>
    <col min="4303" max="4303" width="12.7109375" style="23" customWidth="1"/>
    <col min="4304" max="4304" width="17" style="23" bestFit="1" customWidth="1"/>
    <col min="4305" max="4305" width="13.5703125" style="23" customWidth="1"/>
    <col min="4306" max="4306" width="17.7109375" style="23" customWidth="1"/>
    <col min="4307" max="4307" width="13.42578125" style="23" customWidth="1"/>
    <col min="4308" max="4308" width="11.42578125" style="23" customWidth="1"/>
    <col min="4309" max="4309" width="10.85546875" style="23" customWidth="1"/>
    <col min="4310" max="4310" width="9" style="23" bestFit="1" customWidth="1"/>
    <col min="4311" max="4311" width="10.85546875" style="23" customWidth="1"/>
    <col min="4312" max="4312" width="11" style="23" customWidth="1"/>
    <col min="4313" max="4313" width="43.5703125" style="23" customWidth="1"/>
    <col min="4314" max="4314" width="39.42578125" style="23" customWidth="1"/>
    <col min="4315" max="4315" width="9.140625" style="23"/>
    <col min="4316" max="4316" width="12.140625" style="23" customWidth="1"/>
    <col min="4317" max="4318" width="9.140625" style="23"/>
    <col min="4319" max="4319" width="11.85546875" style="23" customWidth="1"/>
    <col min="4320" max="4320" width="9.140625" style="23"/>
    <col min="4321" max="4321" width="13.5703125" style="23" customWidth="1"/>
    <col min="4322" max="4322" width="9" style="23" customWidth="1"/>
    <col min="4323" max="4323" width="10.85546875" style="23" customWidth="1"/>
    <col min="4324" max="4325" width="9.140625" style="23"/>
    <col min="4326" max="4326" width="11" style="23" customWidth="1"/>
    <col min="4327" max="4327" width="13.140625" style="23" customWidth="1"/>
    <col min="4328" max="4328" width="11.28515625" style="23" customWidth="1"/>
    <col min="4329" max="4331" width="9.140625" style="23"/>
    <col min="4332" max="4332" width="14.42578125" style="23" customWidth="1"/>
    <col min="4333" max="4333" width="10.5703125" style="23" customWidth="1"/>
    <col min="4334" max="4556" width="9.140625" style="23"/>
    <col min="4557" max="4557" width="8.7109375" style="23" bestFit="1" customWidth="1"/>
    <col min="4558" max="4558" width="8.28515625" style="23" customWidth="1"/>
    <col min="4559" max="4559" width="12.7109375" style="23" customWidth="1"/>
    <col min="4560" max="4560" width="17" style="23" bestFit="1" customWidth="1"/>
    <col min="4561" max="4561" width="13.5703125" style="23" customWidth="1"/>
    <col min="4562" max="4562" width="17.7109375" style="23" customWidth="1"/>
    <col min="4563" max="4563" width="13.42578125" style="23" customWidth="1"/>
    <col min="4564" max="4564" width="11.42578125" style="23" customWidth="1"/>
    <col min="4565" max="4565" width="10.85546875" style="23" customWidth="1"/>
    <col min="4566" max="4566" width="9" style="23" bestFit="1" customWidth="1"/>
    <col min="4567" max="4567" width="10.85546875" style="23" customWidth="1"/>
    <col min="4568" max="4568" width="11" style="23" customWidth="1"/>
    <col min="4569" max="4569" width="43.5703125" style="23" customWidth="1"/>
    <col min="4570" max="4570" width="39.42578125" style="23" customWidth="1"/>
    <col min="4571" max="4571" width="9.140625" style="23"/>
    <col min="4572" max="4572" width="12.140625" style="23" customWidth="1"/>
    <col min="4573" max="4574" width="9.140625" style="23"/>
    <col min="4575" max="4575" width="11.85546875" style="23" customWidth="1"/>
    <col min="4576" max="4576" width="9.140625" style="23"/>
    <col min="4577" max="4577" width="13.5703125" style="23" customWidth="1"/>
    <col min="4578" max="4578" width="9" style="23" customWidth="1"/>
    <col min="4579" max="4579" width="10.85546875" style="23" customWidth="1"/>
    <col min="4580" max="4581" width="9.140625" style="23"/>
    <col min="4582" max="4582" width="11" style="23" customWidth="1"/>
    <col min="4583" max="4583" width="13.140625" style="23" customWidth="1"/>
    <col min="4584" max="4584" width="11.28515625" style="23" customWidth="1"/>
    <col min="4585" max="4587" width="9.140625" style="23"/>
    <col min="4588" max="4588" width="14.42578125" style="23" customWidth="1"/>
    <col min="4589" max="4589" width="10.5703125" style="23" customWidth="1"/>
    <col min="4590" max="4812" width="9.140625" style="23"/>
    <col min="4813" max="4813" width="8.7109375" style="23" bestFit="1" customWidth="1"/>
    <col min="4814" max="4814" width="8.28515625" style="23" customWidth="1"/>
    <col min="4815" max="4815" width="12.7109375" style="23" customWidth="1"/>
    <col min="4816" max="4816" width="17" style="23" bestFit="1" customWidth="1"/>
    <col min="4817" max="4817" width="13.5703125" style="23" customWidth="1"/>
    <col min="4818" max="4818" width="17.7109375" style="23" customWidth="1"/>
    <col min="4819" max="4819" width="13.42578125" style="23" customWidth="1"/>
    <col min="4820" max="4820" width="11.42578125" style="23" customWidth="1"/>
    <col min="4821" max="4821" width="10.85546875" style="23" customWidth="1"/>
    <col min="4822" max="4822" width="9" style="23" bestFit="1" customWidth="1"/>
    <col min="4823" max="4823" width="10.85546875" style="23" customWidth="1"/>
    <col min="4824" max="4824" width="11" style="23" customWidth="1"/>
    <col min="4825" max="4825" width="43.5703125" style="23" customWidth="1"/>
    <col min="4826" max="4826" width="39.42578125" style="23" customWidth="1"/>
    <col min="4827" max="4827" width="9.140625" style="23"/>
    <col min="4828" max="4828" width="12.140625" style="23" customWidth="1"/>
    <col min="4829" max="4830" width="9.140625" style="23"/>
    <col min="4831" max="4831" width="11.85546875" style="23" customWidth="1"/>
    <col min="4832" max="4832" width="9.140625" style="23"/>
    <col min="4833" max="4833" width="13.5703125" style="23" customWidth="1"/>
    <col min="4834" max="4834" width="9" style="23" customWidth="1"/>
    <col min="4835" max="4835" width="10.85546875" style="23" customWidth="1"/>
    <col min="4836" max="4837" width="9.140625" style="23"/>
    <col min="4838" max="4838" width="11" style="23" customWidth="1"/>
    <col min="4839" max="4839" width="13.140625" style="23" customWidth="1"/>
    <col min="4840" max="4840" width="11.28515625" style="23" customWidth="1"/>
    <col min="4841" max="4843" width="9.140625" style="23"/>
    <col min="4844" max="4844" width="14.42578125" style="23" customWidth="1"/>
    <col min="4845" max="4845" width="10.5703125" style="23" customWidth="1"/>
    <col min="4846" max="5068" width="9.140625" style="23"/>
    <col min="5069" max="5069" width="8.7109375" style="23" bestFit="1" customWidth="1"/>
    <col min="5070" max="5070" width="8.28515625" style="23" customWidth="1"/>
    <col min="5071" max="5071" width="12.7109375" style="23" customWidth="1"/>
    <col min="5072" max="5072" width="17" style="23" bestFit="1" customWidth="1"/>
    <col min="5073" max="5073" width="13.5703125" style="23" customWidth="1"/>
    <col min="5074" max="5074" width="17.7109375" style="23" customWidth="1"/>
    <col min="5075" max="5075" width="13.42578125" style="23" customWidth="1"/>
    <col min="5076" max="5076" width="11.42578125" style="23" customWidth="1"/>
    <col min="5077" max="5077" width="10.85546875" style="23" customWidth="1"/>
    <col min="5078" max="5078" width="9" style="23" bestFit="1" customWidth="1"/>
    <col min="5079" max="5079" width="10.85546875" style="23" customWidth="1"/>
    <col min="5080" max="5080" width="11" style="23" customWidth="1"/>
    <col min="5081" max="5081" width="43.5703125" style="23" customWidth="1"/>
    <col min="5082" max="5082" width="39.42578125" style="23" customWidth="1"/>
    <col min="5083" max="5083" width="9.140625" style="23"/>
    <col min="5084" max="5084" width="12.140625" style="23" customWidth="1"/>
    <col min="5085" max="5086" width="9.140625" style="23"/>
    <col min="5087" max="5087" width="11.85546875" style="23" customWidth="1"/>
    <col min="5088" max="5088" width="9.140625" style="23"/>
    <col min="5089" max="5089" width="13.5703125" style="23" customWidth="1"/>
    <col min="5090" max="5090" width="9" style="23" customWidth="1"/>
    <col min="5091" max="5091" width="10.85546875" style="23" customWidth="1"/>
    <col min="5092" max="5093" width="9.140625" style="23"/>
    <col min="5094" max="5094" width="11" style="23" customWidth="1"/>
    <col min="5095" max="5095" width="13.140625" style="23" customWidth="1"/>
    <col min="5096" max="5096" width="11.28515625" style="23" customWidth="1"/>
    <col min="5097" max="5099" width="9.140625" style="23"/>
    <col min="5100" max="5100" width="14.42578125" style="23" customWidth="1"/>
    <col min="5101" max="5101" width="10.5703125" style="23" customWidth="1"/>
    <col min="5102" max="5324" width="9.140625" style="23"/>
    <col min="5325" max="5325" width="8.7109375" style="23" bestFit="1" customWidth="1"/>
    <col min="5326" max="5326" width="8.28515625" style="23" customWidth="1"/>
    <col min="5327" max="5327" width="12.7109375" style="23" customWidth="1"/>
    <col min="5328" max="5328" width="17" style="23" bestFit="1" customWidth="1"/>
    <col min="5329" max="5329" width="13.5703125" style="23" customWidth="1"/>
    <col min="5330" max="5330" width="17.7109375" style="23" customWidth="1"/>
    <col min="5331" max="5331" width="13.42578125" style="23" customWidth="1"/>
    <col min="5332" max="5332" width="11.42578125" style="23" customWidth="1"/>
    <col min="5333" max="5333" width="10.85546875" style="23" customWidth="1"/>
    <col min="5334" max="5334" width="9" style="23" bestFit="1" customWidth="1"/>
    <col min="5335" max="5335" width="10.85546875" style="23" customWidth="1"/>
    <col min="5336" max="5336" width="11" style="23" customWidth="1"/>
    <col min="5337" max="5337" width="43.5703125" style="23" customWidth="1"/>
    <col min="5338" max="5338" width="39.42578125" style="23" customWidth="1"/>
    <col min="5339" max="5339" width="9.140625" style="23"/>
    <col min="5340" max="5340" width="12.140625" style="23" customWidth="1"/>
    <col min="5341" max="5342" width="9.140625" style="23"/>
    <col min="5343" max="5343" width="11.85546875" style="23" customWidth="1"/>
    <col min="5344" max="5344" width="9.140625" style="23"/>
    <col min="5345" max="5345" width="13.5703125" style="23" customWidth="1"/>
    <col min="5346" max="5346" width="9" style="23" customWidth="1"/>
    <col min="5347" max="5347" width="10.85546875" style="23" customWidth="1"/>
    <col min="5348" max="5349" width="9.140625" style="23"/>
    <col min="5350" max="5350" width="11" style="23" customWidth="1"/>
    <col min="5351" max="5351" width="13.140625" style="23" customWidth="1"/>
    <col min="5352" max="5352" width="11.28515625" style="23" customWidth="1"/>
    <col min="5353" max="5355" width="9.140625" style="23"/>
    <col min="5356" max="5356" width="14.42578125" style="23" customWidth="1"/>
    <col min="5357" max="5357" width="10.5703125" style="23" customWidth="1"/>
    <col min="5358" max="5580" width="9.140625" style="23"/>
    <col min="5581" max="5581" width="8.7109375" style="23" bestFit="1" customWidth="1"/>
    <col min="5582" max="5582" width="8.28515625" style="23" customWidth="1"/>
    <col min="5583" max="5583" width="12.7109375" style="23" customWidth="1"/>
    <col min="5584" max="5584" width="17" style="23" bestFit="1" customWidth="1"/>
    <col min="5585" max="5585" width="13.5703125" style="23" customWidth="1"/>
    <col min="5586" max="5586" width="17.7109375" style="23" customWidth="1"/>
    <col min="5587" max="5587" width="13.42578125" style="23" customWidth="1"/>
    <col min="5588" max="5588" width="11.42578125" style="23" customWidth="1"/>
    <col min="5589" max="5589" width="10.85546875" style="23" customWidth="1"/>
    <col min="5590" max="5590" width="9" style="23" bestFit="1" customWidth="1"/>
    <col min="5591" max="5591" width="10.85546875" style="23" customWidth="1"/>
    <col min="5592" max="5592" width="11" style="23" customWidth="1"/>
    <col min="5593" max="5593" width="43.5703125" style="23" customWidth="1"/>
    <col min="5594" max="5594" width="39.42578125" style="23" customWidth="1"/>
    <col min="5595" max="5595" width="9.140625" style="23"/>
    <col min="5596" max="5596" width="12.140625" style="23" customWidth="1"/>
    <col min="5597" max="5598" width="9.140625" style="23"/>
    <col min="5599" max="5599" width="11.85546875" style="23" customWidth="1"/>
    <col min="5600" max="5600" width="9.140625" style="23"/>
    <col min="5601" max="5601" width="13.5703125" style="23" customWidth="1"/>
    <col min="5602" max="5602" width="9" style="23" customWidth="1"/>
    <col min="5603" max="5603" width="10.85546875" style="23" customWidth="1"/>
    <col min="5604" max="5605" width="9.140625" style="23"/>
    <col min="5606" max="5606" width="11" style="23" customWidth="1"/>
    <col min="5607" max="5607" width="13.140625" style="23" customWidth="1"/>
    <col min="5608" max="5608" width="11.28515625" style="23" customWidth="1"/>
    <col min="5609" max="5611" width="9.140625" style="23"/>
    <col min="5612" max="5612" width="14.42578125" style="23" customWidth="1"/>
    <col min="5613" max="5613" width="10.5703125" style="23" customWidth="1"/>
    <col min="5614" max="5836" width="9.140625" style="23"/>
    <col min="5837" max="5837" width="8.7109375" style="23" bestFit="1" customWidth="1"/>
    <col min="5838" max="5838" width="8.28515625" style="23" customWidth="1"/>
    <col min="5839" max="5839" width="12.7109375" style="23" customWidth="1"/>
    <col min="5840" max="5840" width="17" style="23" bestFit="1" customWidth="1"/>
    <col min="5841" max="5841" width="13.5703125" style="23" customWidth="1"/>
    <col min="5842" max="5842" width="17.7109375" style="23" customWidth="1"/>
    <col min="5843" max="5843" width="13.42578125" style="23" customWidth="1"/>
    <col min="5844" max="5844" width="11.42578125" style="23" customWidth="1"/>
    <col min="5845" max="5845" width="10.85546875" style="23" customWidth="1"/>
    <col min="5846" max="5846" width="9" style="23" bestFit="1" customWidth="1"/>
    <col min="5847" max="5847" width="10.85546875" style="23" customWidth="1"/>
    <col min="5848" max="5848" width="11" style="23" customWidth="1"/>
    <col min="5849" max="5849" width="43.5703125" style="23" customWidth="1"/>
    <col min="5850" max="5850" width="39.42578125" style="23" customWidth="1"/>
    <col min="5851" max="5851" width="9.140625" style="23"/>
    <col min="5852" max="5852" width="12.140625" style="23" customWidth="1"/>
    <col min="5853" max="5854" width="9.140625" style="23"/>
    <col min="5855" max="5855" width="11.85546875" style="23" customWidth="1"/>
    <col min="5856" max="5856" width="9.140625" style="23"/>
    <col min="5857" max="5857" width="13.5703125" style="23" customWidth="1"/>
    <col min="5858" max="5858" width="9" style="23" customWidth="1"/>
    <col min="5859" max="5859" width="10.85546875" style="23" customWidth="1"/>
    <col min="5860" max="5861" width="9.140625" style="23"/>
    <col min="5862" max="5862" width="11" style="23" customWidth="1"/>
    <col min="5863" max="5863" width="13.140625" style="23" customWidth="1"/>
    <col min="5864" max="5864" width="11.28515625" style="23" customWidth="1"/>
    <col min="5865" max="5867" width="9.140625" style="23"/>
    <col min="5868" max="5868" width="14.42578125" style="23" customWidth="1"/>
    <col min="5869" max="5869" width="10.5703125" style="23" customWidth="1"/>
    <col min="5870" max="6092" width="9.140625" style="23"/>
    <col min="6093" max="6093" width="8.7109375" style="23" bestFit="1" customWidth="1"/>
    <col min="6094" max="6094" width="8.28515625" style="23" customWidth="1"/>
    <col min="6095" max="6095" width="12.7109375" style="23" customWidth="1"/>
    <col min="6096" max="6096" width="17" style="23" bestFit="1" customWidth="1"/>
    <col min="6097" max="6097" width="13.5703125" style="23" customWidth="1"/>
    <col min="6098" max="6098" width="17.7109375" style="23" customWidth="1"/>
    <col min="6099" max="6099" width="13.42578125" style="23" customWidth="1"/>
    <col min="6100" max="6100" width="11.42578125" style="23" customWidth="1"/>
    <col min="6101" max="6101" width="10.85546875" style="23" customWidth="1"/>
    <col min="6102" max="6102" width="9" style="23" bestFit="1" customWidth="1"/>
    <col min="6103" max="6103" width="10.85546875" style="23" customWidth="1"/>
    <col min="6104" max="6104" width="11" style="23" customWidth="1"/>
    <col min="6105" max="6105" width="43.5703125" style="23" customWidth="1"/>
    <col min="6106" max="6106" width="39.42578125" style="23" customWidth="1"/>
    <col min="6107" max="6107" width="9.140625" style="23"/>
    <col min="6108" max="6108" width="12.140625" style="23" customWidth="1"/>
    <col min="6109" max="6110" width="9.140625" style="23"/>
    <col min="6111" max="6111" width="11.85546875" style="23" customWidth="1"/>
    <col min="6112" max="6112" width="9.140625" style="23"/>
    <col min="6113" max="6113" width="13.5703125" style="23" customWidth="1"/>
    <col min="6114" max="6114" width="9" style="23" customWidth="1"/>
    <col min="6115" max="6115" width="10.85546875" style="23" customWidth="1"/>
    <col min="6116" max="6117" width="9.140625" style="23"/>
    <col min="6118" max="6118" width="11" style="23" customWidth="1"/>
    <col min="6119" max="6119" width="13.140625" style="23" customWidth="1"/>
    <col min="6120" max="6120" width="11.28515625" style="23" customWidth="1"/>
    <col min="6121" max="6123" width="9.140625" style="23"/>
    <col min="6124" max="6124" width="14.42578125" style="23" customWidth="1"/>
    <col min="6125" max="6125" width="10.5703125" style="23" customWidth="1"/>
    <col min="6126" max="6348" width="9.140625" style="23"/>
    <col min="6349" max="6349" width="8.7109375" style="23" bestFit="1" customWidth="1"/>
    <col min="6350" max="6350" width="8.28515625" style="23" customWidth="1"/>
    <col min="6351" max="6351" width="12.7109375" style="23" customWidth="1"/>
    <col min="6352" max="6352" width="17" style="23" bestFit="1" customWidth="1"/>
    <col min="6353" max="6353" width="13.5703125" style="23" customWidth="1"/>
    <col min="6354" max="6354" width="17.7109375" style="23" customWidth="1"/>
    <col min="6355" max="6355" width="13.42578125" style="23" customWidth="1"/>
    <col min="6356" max="6356" width="11.42578125" style="23" customWidth="1"/>
    <col min="6357" max="6357" width="10.85546875" style="23" customWidth="1"/>
    <col min="6358" max="6358" width="9" style="23" bestFit="1" customWidth="1"/>
    <col min="6359" max="6359" width="10.85546875" style="23" customWidth="1"/>
    <col min="6360" max="6360" width="11" style="23" customWidth="1"/>
    <col min="6361" max="6361" width="43.5703125" style="23" customWidth="1"/>
    <col min="6362" max="6362" width="39.42578125" style="23" customWidth="1"/>
    <col min="6363" max="6363" width="9.140625" style="23"/>
    <col min="6364" max="6364" width="12.140625" style="23" customWidth="1"/>
    <col min="6365" max="6366" width="9.140625" style="23"/>
    <col min="6367" max="6367" width="11.85546875" style="23" customWidth="1"/>
    <col min="6368" max="6368" width="9.140625" style="23"/>
    <col min="6369" max="6369" width="13.5703125" style="23" customWidth="1"/>
    <col min="6370" max="6370" width="9" style="23" customWidth="1"/>
    <col min="6371" max="6371" width="10.85546875" style="23" customWidth="1"/>
    <col min="6372" max="6373" width="9.140625" style="23"/>
    <col min="6374" max="6374" width="11" style="23" customWidth="1"/>
    <col min="6375" max="6375" width="13.140625" style="23" customWidth="1"/>
    <col min="6376" max="6376" width="11.28515625" style="23" customWidth="1"/>
    <col min="6377" max="6379" width="9.140625" style="23"/>
    <col min="6380" max="6380" width="14.42578125" style="23" customWidth="1"/>
    <col min="6381" max="6381" width="10.5703125" style="23" customWidth="1"/>
    <col min="6382" max="6604" width="9.140625" style="23"/>
    <col min="6605" max="6605" width="8.7109375" style="23" bestFit="1" customWidth="1"/>
    <col min="6606" max="6606" width="8.28515625" style="23" customWidth="1"/>
    <col min="6607" max="6607" width="12.7109375" style="23" customWidth="1"/>
    <col min="6608" max="6608" width="17" style="23" bestFit="1" customWidth="1"/>
    <col min="6609" max="6609" width="13.5703125" style="23" customWidth="1"/>
    <col min="6610" max="6610" width="17.7109375" style="23" customWidth="1"/>
    <col min="6611" max="6611" width="13.42578125" style="23" customWidth="1"/>
    <col min="6612" max="6612" width="11.42578125" style="23" customWidth="1"/>
    <col min="6613" max="6613" width="10.85546875" style="23" customWidth="1"/>
    <col min="6614" max="6614" width="9" style="23" bestFit="1" customWidth="1"/>
    <col min="6615" max="6615" width="10.85546875" style="23" customWidth="1"/>
    <col min="6616" max="6616" width="11" style="23" customWidth="1"/>
    <col min="6617" max="6617" width="43.5703125" style="23" customWidth="1"/>
    <col min="6618" max="6618" width="39.42578125" style="23" customWidth="1"/>
    <col min="6619" max="6619" width="9.140625" style="23"/>
    <col min="6620" max="6620" width="12.140625" style="23" customWidth="1"/>
    <col min="6621" max="6622" width="9.140625" style="23"/>
    <col min="6623" max="6623" width="11.85546875" style="23" customWidth="1"/>
    <col min="6624" max="6624" width="9.140625" style="23"/>
    <col min="6625" max="6625" width="13.5703125" style="23" customWidth="1"/>
    <col min="6626" max="6626" width="9" style="23" customWidth="1"/>
    <col min="6627" max="6627" width="10.85546875" style="23" customWidth="1"/>
    <col min="6628" max="6629" width="9.140625" style="23"/>
    <col min="6630" max="6630" width="11" style="23" customWidth="1"/>
    <col min="6631" max="6631" width="13.140625" style="23" customWidth="1"/>
    <col min="6632" max="6632" width="11.28515625" style="23" customWidth="1"/>
    <col min="6633" max="6635" width="9.140625" style="23"/>
    <col min="6636" max="6636" width="14.42578125" style="23" customWidth="1"/>
    <col min="6637" max="6637" width="10.5703125" style="23" customWidth="1"/>
    <col min="6638" max="6860" width="9.140625" style="23"/>
    <col min="6861" max="6861" width="8.7109375" style="23" bestFit="1" customWidth="1"/>
    <col min="6862" max="6862" width="8.28515625" style="23" customWidth="1"/>
    <col min="6863" max="6863" width="12.7109375" style="23" customWidth="1"/>
    <col min="6864" max="6864" width="17" style="23" bestFit="1" customWidth="1"/>
    <col min="6865" max="6865" width="13.5703125" style="23" customWidth="1"/>
    <col min="6866" max="6866" width="17.7109375" style="23" customWidth="1"/>
    <col min="6867" max="6867" width="13.42578125" style="23" customWidth="1"/>
    <col min="6868" max="6868" width="11.42578125" style="23" customWidth="1"/>
    <col min="6869" max="6869" width="10.85546875" style="23" customWidth="1"/>
    <col min="6870" max="6870" width="9" style="23" bestFit="1" customWidth="1"/>
    <col min="6871" max="6871" width="10.85546875" style="23" customWidth="1"/>
    <col min="6872" max="6872" width="11" style="23" customWidth="1"/>
    <col min="6873" max="6873" width="43.5703125" style="23" customWidth="1"/>
    <col min="6874" max="6874" width="39.42578125" style="23" customWidth="1"/>
    <col min="6875" max="6875" width="9.140625" style="23"/>
    <col min="6876" max="6876" width="12.140625" style="23" customWidth="1"/>
    <col min="6877" max="6878" width="9.140625" style="23"/>
    <col min="6879" max="6879" width="11.85546875" style="23" customWidth="1"/>
    <col min="6880" max="6880" width="9.140625" style="23"/>
    <col min="6881" max="6881" width="13.5703125" style="23" customWidth="1"/>
    <col min="6882" max="6882" width="9" style="23" customWidth="1"/>
    <col min="6883" max="6883" width="10.85546875" style="23" customWidth="1"/>
    <col min="6884" max="6885" width="9.140625" style="23"/>
    <col min="6886" max="6886" width="11" style="23" customWidth="1"/>
    <col min="6887" max="6887" width="13.140625" style="23" customWidth="1"/>
    <col min="6888" max="6888" width="11.28515625" style="23" customWidth="1"/>
    <col min="6889" max="6891" width="9.140625" style="23"/>
    <col min="6892" max="6892" width="14.42578125" style="23" customWidth="1"/>
    <col min="6893" max="6893" width="10.5703125" style="23" customWidth="1"/>
    <col min="6894" max="7116" width="9.140625" style="23"/>
    <col min="7117" max="7117" width="8.7109375" style="23" bestFit="1" customWidth="1"/>
    <col min="7118" max="7118" width="8.28515625" style="23" customWidth="1"/>
    <col min="7119" max="7119" width="12.7109375" style="23" customWidth="1"/>
    <col min="7120" max="7120" width="17" style="23" bestFit="1" customWidth="1"/>
    <col min="7121" max="7121" width="13.5703125" style="23" customWidth="1"/>
    <col min="7122" max="7122" width="17.7109375" style="23" customWidth="1"/>
    <col min="7123" max="7123" width="13.42578125" style="23" customWidth="1"/>
    <col min="7124" max="7124" width="11.42578125" style="23" customWidth="1"/>
    <col min="7125" max="7125" width="10.85546875" style="23" customWidth="1"/>
    <col min="7126" max="7126" width="9" style="23" bestFit="1" customWidth="1"/>
    <col min="7127" max="7127" width="10.85546875" style="23" customWidth="1"/>
    <col min="7128" max="7128" width="11" style="23" customWidth="1"/>
    <col min="7129" max="7129" width="43.5703125" style="23" customWidth="1"/>
    <col min="7130" max="7130" width="39.42578125" style="23" customWidth="1"/>
    <col min="7131" max="7131" width="9.140625" style="23"/>
    <col min="7132" max="7132" width="12.140625" style="23" customWidth="1"/>
    <col min="7133" max="7134" width="9.140625" style="23"/>
    <col min="7135" max="7135" width="11.85546875" style="23" customWidth="1"/>
    <col min="7136" max="7136" width="9.140625" style="23"/>
    <col min="7137" max="7137" width="13.5703125" style="23" customWidth="1"/>
    <col min="7138" max="7138" width="9" style="23" customWidth="1"/>
    <col min="7139" max="7139" width="10.85546875" style="23" customWidth="1"/>
    <col min="7140" max="7141" width="9.140625" style="23"/>
    <col min="7142" max="7142" width="11" style="23" customWidth="1"/>
    <col min="7143" max="7143" width="13.140625" style="23" customWidth="1"/>
    <col min="7144" max="7144" width="11.28515625" style="23" customWidth="1"/>
    <col min="7145" max="7147" width="9.140625" style="23"/>
    <col min="7148" max="7148" width="14.42578125" style="23" customWidth="1"/>
    <col min="7149" max="7149" width="10.5703125" style="23" customWidth="1"/>
    <col min="7150" max="7372" width="9.140625" style="23"/>
    <col min="7373" max="7373" width="8.7109375" style="23" bestFit="1" customWidth="1"/>
    <col min="7374" max="7374" width="8.28515625" style="23" customWidth="1"/>
    <col min="7375" max="7375" width="12.7109375" style="23" customWidth="1"/>
    <col min="7376" max="7376" width="17" style="23" bestFit="1" customWidth="1"/>
    <col min="7377" max="7377" width="13.5703125" style="23" customWidth="1"/>
    <col min="7378" max="7378" width="17.7109375" style="23" customWidth="1"/>
    <col min="7379" max="7379" width="13.42578125" style="23" customWidth="1"/>
    <col min="7380" max="7380" width="11.42578125" style="23" customWidth="1"/>
    <col min="7381" max="7381" width="10.85546875" style="23" customWidth="1"/>
    <col min="7382" max="7382" width="9" style="23" bestFit="1" customWidth="1"/>
    <col min="7383" max="7383" width="10.85546875" style="23" customWidth="1"/>
    <col min="7384" max="7384" width="11" style="23" customWidth="1"/>
    <col min="7385" max="7385" width="43.5703125" style="23" customWidth="1"/>
    <col min="7386" max="7386" width="39.42578125" style="23" customWidth="1"/>
    <col min="7387" max="7387" width="9.140625" style="23"/>
    <col min="7388" max="7388" width="12.140625" style="23" customWidth="1"/>
    <col min="7389" max="7390" width="9.140625" style="23"/>
    <col min="7391" max="7391" width="11.85546875" style="23" customWidth="1"/>
    <col min="7392" max="7392" width="9.140625" style="23"/>
    <col min="7393" max="7393" width="13.5703125" style="23" customWidth="1"/>
    <col min="7394" max="7394" width="9" style="23" customWidth="1"/>
    <col min="7395" max="7395" width="10.85546875" style="23" customWidth="1"/>
    <col min="7396" max="7397" width="9.140625" style="23"/>
    <col min="7398" max="7398" width="11" style="23" customWidth="1"/>
    <col min="7399" max="7399" width="13.140625" style="23" customWidth="1"/>
    <col min="7400" max="7400" width="11.28515625" style="23" customWidth="1"/>
    <col min="7401" max="7403" width="9.140625" style="23"/>
    <col min="7404" max="7404" width="14.42578125" style="23" customWidth="1"/>
    <col min="7405" max="7405" width="10.5703125" style="23" customWidth="1"/>
    <col min="7406" max="7628" width="9.140625" style="23"/>
    <col min="7629" max="7629" width="8.7109375" style="23" bestFit="1" customWidth="1"/>
    <col min="7630" max="7630" width="8.28515625" style="23" customWidth="1"/>
    <col min="7631" max="7631" width="12.7109375" style="23" customWidth="1"/>
    <col min="7632" max="7632" width="17" style="23" bestFit="1" customWidth="1"/>
    <col min="7633" max="7633" width="13.5703125" style="23" customWidth="1"/>
    <col min="7634" max="7634" width="17.7109375" style="23" customWidth="1"/>
    <col min="7635" max="7635" width="13.42578125" style="23" customWidth="1"/>
    <col min="7636" max="7636" width="11.42578125" style="23" customWidth="1"/>
    <col min="7637" max="7637" width="10.85546875" style="23" customWidth="1"/>
    <col min="7638" max="7638" width="9" style="23" bestFit="1" customWidth="1"/>
    <col min="7639" max="7639" width="10.85546875" style="23" customWidth="1"/>
    <col min="7640" max="7640" width="11" style="23" customWidth="1"/>
    <col min="7641" max="7641" width="43.5703125" style="23" customWidth="1"/>
    <col min="7642" max="7642" width="39.42578125" style="23" customWidth="1"/>
    <col min="7643" max="7643" width="9.140625" style="23"/>
    <col min="7644" max="7644" width="12.140625" style="23" customWidth="1"/>
    <col min="7645" max="7646" width="9.140625" style="23"/>
    <col min="7647" max="7647" width="11.85546875" style="23" customWidth="1"/>
    <col min="7648" max="7648" width="9.140625" style="23"/>
    <col min="7649" max="7649" width="13.5703125" style="23" customWidth="1"/>
    <col min="7650" max="7650" width="9" style="23" customWidth="1"/>
    <col min="7651" max="7651" width="10.85546875" style="23" customWidth="1"/>
    <col min="7652" max="7653" width="9.140625" style="23"/>
    <col min="7654" max="7654" width="11" style="23" customWidth="1"/>
    <col min="7655" max="7655" width="13.140625" style="23" customWidth="1"/>
    <col min="7656" max="7656" width="11.28515625" style="23" customWidth="1"/>
    <col min="7657" max="7659" width="9.140625" style="23"/>
    <col min="7660" max="7660" width="14.42578125" style="23" customWidth="1"/>
    <col min="7661" max="7661" width="10.5703125" style="23" customWidth="1"/>
    <col min="7662" max="7884" width="9.140625" style="23"/>
    <col min="7885" max="7885" width="8.7109375" style="23" bestFit="1" customWidth="1"/>
    <col min="7886" max="7886" width="8.28515625" style="23" customWidth="1"/>
    <col min="7887" max="7887" width="12.7109375" style="23" customWidth="1"/>
    <col min="7888" max="7888" width="17" style="23" bestFit="1" customWidth="1"/>
    <col min="7889" max="7889" width="13.5703125" style="23" customWidth="1"/>
    <col min="7890" max="7890" width="17.7109375" style="23" customWidth="1"/>
    <col min="7891" max="7891" width="13.42578125" style="23" customWidth="1"/>
    <col min="7892" max="7892" width="11.42578125" style="23" customWidth="1"/>
    <col min="7893" max="7893" width="10.85546875" style="23" customWidth="1"/>
    <col min="7894" max="7894" width="9" style="23" bestFit="1" customWidth="1"/>
    <col min="7895" max="7895" width="10.85546875" style="23" customWidth="1"/>
    <col min="7896" max="7896" width="11" style="23" customWidth="1"/>
    <col min="7897" max="7897" width="43.5703125" style="23" customWidth="1"/>
    <col min="7898" max="7898" width="39.42578125" style="23" customWidth="1"/>
    <col min="7899" max="7899" width="9.140625" style="23"/>
    <col min="7900" max="7900" width="12.140625" style="23" customWidth="1"/>
    <col min="7901" max="7902" width="9.140625" style="23"/>
    <col min="7903" max="7903" width="11.85546875" style="23" customWidth="1"/>
    <col min="7904" max="7904" width="9.140625" style="23"/>
    <col min="7905" max="7905" width="13.5703125" style="23" customWidth="1"/>
    <col min="7906" max="7906" width="9" style="23" customWidth="1"/>
    <col min="7907" max="7907" width="10.85546875" style="23" customWidth="1"/>
    <col min="7908" max="7909" width="9.140625" style="23"/>
    <col min="7910" max="7910" width="11" style="23" customWidth="1"/>
    <col min="7911" max="7911" width="13.140625" style="23" customWidth="1"/>
    <col min="7912" max="7912" width="11.28515625" style="23" customWidth="1"/>
    <col min="7913" max="7915" width="9.140625" style="23"/>
    <col min="7916" max="7916" width="14.42578125" style="23" customWidth="1"/>
    <col min="7917" max="7917" width="10.5703125" style="23" customWidth="1"/>
    <col min="7918" max="8140" width="9.140625" style="23"/>
    <col min="8141" max="8141" width="8.7109375" style="23" bestFit="1" customWidth="1"/>
    <col min="8142" max="8142" width="8.28515625" style="23" customWidth="1"/>
    <col min="8143" max="8143" width="12.7109375" style="23" customWidth="1"/>
    <col min="8144" max="8144" width="17" style="23" bestFit="1" customWidth="1"/>
    <col min="8145" max="8145" width="13.5703125" style="23" customWidth="1"/>
    <col min="8146" max="8146" width="17.7109375" style="23" customWidth="1"/>
    <col min="8147" max="8147" width="13.42578125" style="23" customWidth="1"/>
    <col min="8148" max="8148" width="11.42578125" style="23" customWidth="1"/>
    <col min="8149" max="8149" width="10.85546875" style="23" customWidth="1"/>
    <col min="8150" max="8150" width="9" style="23" bestFit="1" customWidth="1"/>
    <col min="8151" max="8151" width="10.85546875" style="23" customWidth="1"/>
    <col min="8152" max="8152" width="11" style="23" customWidth="1"/>
    <col min="8153" max="8153" width="43.5703125" style="23" customWidth="1"/>
    <col min="8154" max="8154" width="39.42578125" style="23" customWidth="1"/>
    <col min="8155" max="8155" width="9.140625" style="23"/>
    <col min="8156" max="8156" width="12.140625" style="23" customWidth="1"/>
    <col min="8157" max="8158" width="9.140625" style="23"/>
    <col min="8159" max="8159" width="11.85546875" style="23" customWidth="1"/>
    <col min="8160" max="8160" width="9.140625" style="23"/>
    <col min="8161" max="8161" width="13.5703125" style="23" customWidth="1"/>
    <col min="8162" max="8162" width="9" style="23" customWidth="1"/>
    <col min="8163" max="8163" width="10.85546875" style="23" customWidth="1"/>
    <col min="8164" max="8165" width="9.140625" style="23"/>
    <col min="8166" max="8166" width="11" style="23" customWidth="1"/>
    <col min="8167" max="8167" width="13.140625" style="23" customWidth="1"/>
    <col min="8168" max="8168" width="11.28515625" style="23" customWidth="1"/>
    <col min="8169" max="8171" width="9.140625" style="23"/>
    <col min="8172" max="8172" width="14.42578125" style="23" customWidth="1"/>
    <col min="8173" max="8173" width="10.5703125" style="23" customWidth="1"/>
    <col min="8174" max="8396" width="9.140625" style="23"/>
    <col min="8397" max="8397" width="8.7109375" style="23" bestFit="1" customWidth="1"/>
    <col min="8398" max="8398" width="8.28515625" style="23" customWidth="1"/>
    <col min="8399" max="8399" width="12.7109375" style="23" customWidth="1"/>
    <col min="8400" max="8400" width="17" style="23" bestFit="1" customWidth="1"/>
    <col min="8401" max="8401" width="13.5703125" style="23" customWidth="1"/>
    <col min="8402" max="8402" width="17.7109375" style="23" customWidth="1"/>
    <col min="8403" max="8403" width="13.42578125" style="23" customWidth="1"/>
    <col min="8404" max="8404" width="11.42578125" style="23" customWidth="1"/>
    <col min="8405" max="8405" width="10.85546875" style="23" customWidth="1"/>
    <col min="8406" max="8406" width="9" style="23" bestFit="1" customWidth="1"/>
    <col min="8407" max="8407" width="10.85546875" style="23" customWidth="1"/>
    <col min="8408" max="8408" width="11" style="23" customWidth="1"/>
    <col min="8409" max="8409" width="43.5703125" style="23" customWidth="1"/>
    <col min="8410" max="8410" width="39.42578125" style="23" customWidth="1"/>
    <col min="8411" max="8411" width="9.140625" style="23"/>
    <col min="8412" max="8412" width="12.140625" style="23" customWidth="1"/>
    <col min="8413" max="8414" width="9.140625" style="23"/>
    <col min="8415" max="8415" width="11.85546875" style="23" customWidth="1"/>
    <col min="8416" max="8416" width="9.140625" style="23"/>
    <col min="8417" max="8417" width="13.5703125" style="23" customWidth="1"/>
    <col min="8418" max="8418" width="9" style="23" customWidth="1"/>
    <col min="8419" max="8419" width="10.85546875" style="23" customWidth="1"/>
    <col min="8420" max="8421" width="9.140625" style="23"/>
    <col min="8422" max="8422" width="11" style="23" customWidth="1"/>
    <col min="8423" max="8423" width="13.140625" style="23" customWidth="1"/>
    <col min="8424" max="8424" width="11.28515625" style="23" customWidth="1"/>
    <col min="8425" max="8427" width="9.140625" style="23"/>
    <col min="8428" max="8428" width="14.42578125" style="23" customWidth="1"/>
    <col min="8429" max="8429" width="10.5703125" style="23" customWidth="1"/>
    <col min="8430" max="8652" width="9.140625" style="23"/>
    <col min="8653" max="8653" width="8.7109375" style="23" bestFit="1" customWidth="1"/>
    <col min="8654" max="8654" width="8.28515625" style="23" customWidth="1"/>
    <col min="8655" max="8655" width="12.7109375" style="23" customWidth="1"/>
    <col min="8656" max="8656" width="17" style="23" bestFit="1" customWidth="1"/>
    <col min="8657" max="8657" width="13.5703125" style="23" customWidth="1"/>
    <col min="8658" max="8658" width="17.7109375" style="23" customWidth="1"/>
    <col min="8659" max="8659" width="13.42578125" style="23" customWidth="1"/>
    <col min="8660" max="8660" width="11.42578125" style="23" customWidth="1"/>
    <col min="8661" max="8661" width="10.85546875" style="23" customWidth="1"/>
    <col min="8662" max="8662" width="9" style="23" bestFit="1" customWidth="1"/>
    <col min="8663" max="8663" width="10.85546875" style="23" customWidth="1"/>
    <col min="8664" max="8664" width="11" style="23" customWidth="1"/>
    <col min="8665" max="8665" width="43.5703125" style="23" customWidth="1"/>
    <col min="8666" max="8666" width="39.42578125" style="23" customWidth="1"/>
    <col min="8667" max="8667" width="9.140625" style="23"/>
    <col min="8668" max="8668" width="12.140625" style="23" customWidth="1"/>
    <col min="8669" max="8670" width="9.140625" style="23"/>
    <col min="8671" max="8671" width="11.85546875" style="23" customWidth="1"/>
    <col min="8672" max="8672" width="9.140625" style="23"/>
    <col min="8673" max="8673" width="13.5703125" style="23" customWidth="1"/>
    <col min="8674" max="8674" width="9" style="23" customWidth="1"/>
    <col min="8675" max="8675" width="10.85546875" style="23" customWidth="1"/>
    <col min="8676" max="8677" width="9.140625" style="23"/>
    <col min="8678" max="8678" width="11" style="23" customWidth="1"/>
    <col min="8679" max="8679" width="13.140625" style="23" customWidth="1"/>
    <col min="8680" max="8680" width="11.28515625" style="23" customWidth="1"/>
    <col min="8681" max="8683" width="9.140625" style="23"/>
    <col min="8684" max="8684" width="14.42578125" style="23" customWidth="1"/>
    <col min="8685" max="8685" width="10.5703125" style="23" customWidth="1"/>
    <col min="8686" max="8908" width="9.140625" style="23"/>
    <col min="8909" max="8909" width="8.7109375" style="23" bestFit="1" customWidth="1"/>
    <col min="8910" max="8910" width="8.28515625" style="23" customWidth="1"/>
    <col min="8911" max="8911" width="12.7109375" style="23" customWidth="1"/>
    <col min="8912" max="8912" width="17" style="23" bestFit="1" customWidth="1"/>
    <col min="8913" max="8913" width="13.5703125" style="23" customWidth="1"/>
    <col min="8914" max="8914" width="17.7109375" style="23" customWidth="1"/>
    <col min="8915" max="8915" width="13.42578125" style="23" customWidth="1"/>
    <col min="8916" max="8916" width="11.42578125" style="23" customWidth="1"/>
    <col min="8917" max="8917" width="10.85546875" style="23" customWidth="1"/>
    <col min="8918" max="8918" width="9" style="23" bestFit="1" customWidth="1"/>
    <col min="8919" max="8919" width="10.85546875" style="23" customWidth="1"/>
    <col min="8920" max="8920" width="11" style="23" customWidth="1"/>
    <col min="8921" max="8921" width="43.5703125" style="23" customWidth="1"/>
    <col min="8922" max="8922" width="39.42578125" style="23" customWidth="1"/>
    <col min="8923" max="8923" width="9.140625" style="23"/>
    <col min="8924" max="8924" width="12.140625" style="23" customWidth="1"/>
    <col min="8925" max="8926" width="9.140625" style="23"/>
    <col min="8927" max="8927" width="11.85546875" style="23" customWidth="1"/>
    <col min="8928" max="8928" width="9.140625" style="23"/>
    <col min="8929" max="8929" width="13.5703125" style="23" customWidth="1"/>
    <col min="8930" max="8930" width="9" style="23" customWidth="1"/>
    <col min="8931" max="8931" width="10.85546875" style="23" customWidth="1"/>
    <col min="8932" max="8933" width="9.140625" style="23"/>
    <col min="8934" max="8934" width="11" style="23" customWidth="1"/>
    <col min="8935" max="8935" width="13.140625" style="23" customWidth="1"/>
    <col min="8936" max="8936" width="11.28515625" style="23" customWidth="1"/>
    <col min="8937" max="8939" width="9.140625" style="23"/>
    <col min="8940" max="8940" width="14.42578125" style="23" customWidth="1"/>
    <col min="8941" max="8941" width="10.5703125" style="23" customWidth="1"/>
    <col min="8942" max="9164" width="9.140625" style="23"/>
    <col min="9165" max="9165" width="8.7109375" style="23" bestFit="1" customWidth="1"/>
    <col min="9166" max="9166" width="8.28515625" style="23" customWidth="1"/>
    <col min="9167" max="9167" width="12.7109375" style="23" customWidth="1"/>
    <col min="9168" max="9168" width="17" style="23" bestFit="1" customWidth="1"/>
    <col min="9169" max="9169" width="13.5703125" style="23" customWidth="1"/>
    <col min="9170" max="9170" width="17.7109375" style="23" customWidth="1"/>
    <col min="9171" max="9171" width="13.42578125" style="23" customWidth="1"/>
    <col min="9172" max="9172" width="11.42578125" style="23" customWidth="1"/>
    <col min="9173" max="9173" width="10.85546875" style="23" customWidth="1"/>
    <col min="9174" max="9174" width="9" style="23" bestFit="1" customWidth="1"/>
    <col min="9175" max="9175" width="10.85546875" style="23" customWidth="1"/>
    <col min="9176" max="9176" width="11" style="23" customWidth="1"/>
    <col min="9177" max="9177" width="43.5703125" style="23" customWidth="1"/>
    <col min="9178" max="9178" width="39.42578125" style="23" customWidth="1"/>
    <col min="9179" max="9179" width="9.140625" style="23"/>
    <col min="9180" max="9180" width="12.140625" style="23" customWidth="1"/>
    <col min="9181" max="9182" width="9.140625" style="23"/>
    <col min="9183" max="9183" width="11.85546875" style="23" customWidth="1"/>
    <col min="9184" max="9184" width="9.140625" style="23"/>
    <col min="9185" max="9185" width="13.5703125" style="23" customWidth="1"/>
    <col min="9186" max="9186" width="9" style="23" customWidth="1"/>
    <col min="9187" max="9187" width="10.85546875" style="23" customWidth="1"/>
    <col min="9188" max="9189" width="9.140625" style="23"/>
    <col min="9190" max="9190" width="11" style="23" customWidth="1"/>
    <col min="9191" max="9191" width="13.140625" style="23" customWidth="1"/>
    <col min="9192" max="9192" width="11.28515625" style="23" customWidth="1"/>
    <col min="9193" max="9195" width="9.140625" style="23"/>
    <col min="9196" max="9196" width="14.42578125" style="23" customWidth="1"/>
    <col min="9197" max="9197" width="10.5703125" style="23" customWidth="1"/>
    <col min="9198" max="9420" width="9.140625" style="23"/>
    <col min="9421" max="9421" width="8.7109375" style="23" bestFit="1" customWidth="1"/>
    <col min="9422" max="9422" width="8.28515625" style="23" customWidth="1"/>
    <col min="9423" max="9423" width="12.7109375" style="23" customWidth="1"/>
    <col min="9424" max="9424" width="17" style="23" bestFit="1" customWidth="1"/>
    <col min="9425" max="9425" width="13.5703125" style="23" customWidth="1"/>
    <col min="9426" max="9426" width="17.7109375" style="23" customWidth="1"/>
    <col min="9427" max="9427" width="13.42578125" style="23" customWidth="1"/>
    <col min="9428" max="9428" width="11.42578125" style="23" customWidth="1"/>
    <col min="9429" max="9429" width="10.85546875" style="23" customWidth="1"/>
    <col min="9430" max="9430" width="9" style="23" bestFit="1" customWidth="1"/>
    <col min="9431" max="9431" width="10.85546875" style="23" customWidth="1"/>
    <col min="9432" max="9432" width="11" style="23" customWidth="1"/>
    <col min="9433" max="9433" width="43.5703125" style="23" customWidth="1"/>
    <col min="9434" max="9434" width="39.42578125" style="23" customWidth="1"/>
    <col min="9435" max="9435" width="9.140625" style="23"/>
    <col min="9436" max="9436" width="12.140625" style="23" customWidth="1"/>
    <col min="9437" max="9438" width="9.140625" style="23"/>
    <col min="9439" max="9439" width="11.85546875" style="23" customWidth="1"/>
    <col min="9440" max="9440" width="9.140625" style="23"/>
    <col min="9441" max="9441" width="13.5703125" style="23" customWidth="1"/>
    <col min="9442" max="9442" width="9" style="23" customWidth="1"/>
    <col min="9443" max="9443" width="10.85546875" style="23" customWidth="1"/>
    <col min="9444" max="9445" width="9.140625" style="23"/>
    <col min="9446" max="9446" width="11" style="23" customWidth="1"/>
    <col min="9447" max="9447" width="13.140625" style="23" customWidth="1"/>
    <col min="9448" max="9448" width="11.28515625" style="23" customWidth="1"/>
    <col min="9449" max="9451" width="9.140625" style="23"/>
    <col min="9452" max="9452" width="14.42578125" style="23" customWidth="1"/>
    <col min="9453" max="9453" width="10.5703125" style="23" customWidth="1"/>
    <col min="9454" max="9676" width="9.140625" style="23"/>
    <col min="9677" max="9677" width="8.7109375" style="23" bestFit="1" customWidth="1"/>
    <col min="9678" max="9678" width="8.28515625" style="23" customWidth="1"/>
    <col min="9679" max="9679" width="12.7109375" style="23" customWidth="1"/>
    <col min="9680" max="9680" width="17" style="23" bestFit="1" customWidth="1"/>
    <col min="9681" max="9681" width="13.5703125" style="23" customWidth="1"/>
    <col min="9682" max="9682" width="17.7109375" style="23" customWidth="1"/>
    <col min="9683" max="9683" width="13.42578125" style="23" customWidth="1"/>
    <col min="9684" max="9684" width="11.42578125" style="23" customWidth="1"/>
    <col min="9685" max="9685" width="10.85546875" style="23" customWidth="1"/>
    <col min="9686" max="9686" width="9" style="23" bestFit="1" customWidth="1"/>
    <col min="9687" max="9687" width="10.85546875" style="23" customWidth="1"/>
    <col min="9688" max="9688" width="11" style="23" customWidth="1"/>
    <col min="9689" max="9689" width="43.5703125" style="23" customWidth="1"/>
    <col min="9690" max="9690" width="39.42578125" style="23" customWidth="1"/>
    <col min="9691" max="9691" width="9.140625" style="23"/>
    <col min="9692" max="9692" width="12.140625" style="23" customWidth="1"/>
    <col min="9693" max="9694" width="9.140625" style="23"/>
    <col min="9695" max="9695" width="11.85546875" style="23" customWidth="1"/>
    <col min="9696" max="9696" width="9.140625" style="23"/>
    <col min="9697" max="9697" width="13.5703125" style="23" customWidth="1"/>
    <col min="9698" max="9698" width="9" style="23" customWidth="1"/>
    <col min="9699" max="9699" width="10.85546875" style="23" customWidth="1"/>
    <col min="9700" max="9701" width="9.140625" style="23"/>
    <col min="9702" max="9702" width="11" style="23" customWidth="1"/>
    <col min="9703" max="9703" width="13.140625" style="23" customWidth="1"/>
    <col min="9704" max="9704" width="11.28515625" style="23" customWidth="1"/>
    <col min="9705" max="9707" width="9.140625" style="23"/>
    <col min="9708" max="9708" width="14.42578125" style="23" customWidth="1"/>
    <col min="9709" max="9709" width="10.5703125" style="23" customWidth="1"/>
    <col min="9710" max="9932" width="9.140625" style="23"/>
    <col min="9933" max="9933" width="8.7109375" style="23" bestFit="1" customWidth="1"/>
    <col min="9934" max="9934" width="8.28515625" style="23" customWidth="1"/>
    <col min="9935" max="9935" width="12.7109375" style="23" customWidth="1"/>
    <col min="9936" max="9936" width="17" style="23" bestFit="1" customWidth="1"/>
    <col min="9937" max="9937" width="13.5703125" style="23" customWidth="1"/>
    <col min="9938" max="9938" width="17.7109375" style="23" customWidth="1"/>
    <col min="9939" max="9939" width="13.42578125" style="23" customWidth="1"/>
    <col min="9940" max="9940" width="11.42578125" style="23" customWidth="1"/>
    <col min="9941" max="9941" width="10.85546875" style="23" customWidth="1"/>
    <col min="9942" max="9942" width="9" style="23" bestFit="1" customWidth="1"/>
    <col min="9943" max="9943" width="10.85546875" style="23" customWidth="1"/>
    <col min="9944" max="9944" width="11" style="23" customWidth="1"/>
    <col min="9945" max="9945" width="43.5703125" style="23" customWidth="1"/>
    <col min="9946" max="9946" width="39.42578125" style="23" customWidth="1"/>
    <col min="9947" max="9947" width="9.140625" style="23"/>
    <col min="9948" max="9948" width="12.140625" style="23" customWidth="1"/>
    <col min="9949" max="9950" width="9.140625" style="23"/>
    <col min="9951" max="9951" width="11.85546875" style="23" customWidth="1"/>
    <col min="9952" max="9952" width="9.140625" style="23"/>
    <col min="9953" max="9953" width="13.5703125" style="23" customWidth="1"/>
    <col min="9954" max="9954" width="9" style="23" customWidth="1"/>
    <col min="9955" max="9955" width="10.85546875" style="23" customWidth="1"/>
    <col min="9956" max="9957" width="9.140625" style="23"/>
    <col min="9958" max="9958" width="11" style="23" customWidth="1"/>
    <col min="9959" max="9959" width="13.140625" style="23" customWidth="1"/>
    <col min="9960" max="9960" width="11.28515625" style="23" customWidth="1"/>
    <col min="9961" max="9963" width="9.140625" style="23"/>
    <col min="9964" max="9964" width="14.42578125" style="23" customWidth="1"/>
    <col min="9965" max="9965" width="10.5703125" style="23" customWidth="1"/>
    <col min="9966" max="10188" width="9.140625" style="23"/>
    <col min="10189" max="10189" width="8.7109375" style="23" bestFit="1" customWidth="1"/>
    <col min="10190" max="10190" width="8.28515625" style="23" customWidth="1"/>
    <col min="10191" max="10191" width="12.7109375" style="23" customWidth="1"/>
    <col min="10192" max="10192" width="17" style="23" bestFit="1" customWidth="1"/>
    <col min="10193" max="10193" width="13.5703125" style="23" customWidth="1"/>
    <col min="10194" max="10194" width="17.7109375" style="23" customWidth="1"/>
    <col min="10195" max="10195" width="13.42578125" style="23" customWidth="1"/>
    <col min="10196" max="10196" width="11.42578125" style="23" customWidth="1"/>
    <col min="10197" max="10197" width="10.85546875" style="23" customWidth="1"/>
    <col min="10198" max="10198" width="9" style="23" bestFit="1" customWidth="1"/>
    <col min="10199" max="10199" width="10.85546875" style="23" customWidth="1"/>
    <col min="10200" max="10200" width="11" style="23" customWidth="1"/>
    <col min="10201" max="10201" width="43.5703125" style="23" customWidth="1"/>
    <col min="10202" max="10202" width="39.42578125" style="23" customWidth="1"/>
    <col min="10203" max="10203" width="9.140625" style="23"/>
    <col min="10204" max="10204" width="12.140625" style="23" customWidth="1"/>
    <col min="10205" max="10206" width="9.140625" style="23"/>
    <col min="10207" max="10207" width="11.85546875" style="23" customWidth="1"/>
    <col min="10208" max="10208" width="9.140625" style="23"/>
    <col min="10209" max="10209" width="13.5703125" style="23" customWidth="1"/>
    <col min="10210" max="10210" width="9" style="23" customWidth="1"/>
    <col min="10211" max="10211" width="10.85546875" style="23" customWidth="1"/>
    <col min="10212" max="10213" width="9.140625" style="23"/>
    <col min="10214" max="10214" width="11" style="23" customWidth="1"/>
    <col min="10215" max="10215" width="13.140625" style="23" customWidth="1"/>
    <col min="10216" max="10216" width="11.28515625" style="23" customWidth="1"/>
    <col min="10217" max="10219" width="9.140625" style="23"/>
    <col min="10220" max="10220" width="14.42578125" style="23" customWidth="1"/>
    <col min="10221" max="10221" width="10.5703125" style="23" customWidth="1"/>
    <col min="10222" max="10444" width="9.140625" style="23"/>
    <col min="10445" max="10445" width="8.7109375" style="23" bestFit="1" customWidth="1"/>
    <col min="10446" max="10446" width="8.28515625" style="23" customWidth="1"/>
    <col min="10447" max="10447" width="12.7109375" style="23" customWidth="1"/>
    <col min="10448" max="10448" width="17" style="23" bestFit="1" customWidth="1"/>
    <col min="10449" max="10449" width="13.5703125" style="23" customWidth="1"/>
    <col min="10450" max="10450" width="17.7109375" style="23" customWidth="1"/>
    <col min="10451" max="10451" width="13.42578125" style="23" customWidth="1"/>
    <col min="10452" max="10452" width="11.42578125" style="23" customWidth="1"/>
    <col min="10453" max="10453" width="10.85546875" style="23" customWidth="1"/>
    <col min="10454" max="10454" width="9" style="23" bestFit="1" customWidth="1"/>
    <col min="10455" max="10455" width="10.85546875" style="23" customWidth="1"/>
    <col min="10456" max="10456" width="11" style="23" customWidth="1"/>
    <col min="10457" max="10457" width="43.5703125" style="23" customWidth="1"/>
    <col min="10458" max="10458" width="39.42578125" style="23" customWidth="1"/>
    <col min="10459" max="10459" width="9.140625" style="23"/>
    <col min="10460" max="10460" width="12.140625" style="23" customWidth="1"/>
    <col min="10461" max="10462" width="9.140625" style="23"/>
    <col min="10463" max="10463" width="11.85546875" style="23" customWidth="1"/>
    <col min="10464" max="10464" width="9.140625" style="23"/>
    <col min="10465" max="10465" width="13.5703125" style="23" customWidth="1"/>
    <col min="10466" max="10466" width="9" style="23" customWidth="1"/>
    <col min="10467" max="10467" width="10.85546875" style="23" customWidth="1"/>
    <col min="10468" max="10469" width="9.140625" style="23"/>
    <col min="10470" max="10470" width="11" style="23" customWidth="1"/>
    <col min="10471" max="10471" width="13.140625" style="23" customWidth="1"/>
    <col min="10472" max="10472" width="11.28515625" style="23" customWidth="1"/>
    <col min="10473" max="10475" width="9.140625" style="23"/>
    <col min="10476" max="10476" width="14.42578125" style="23" customWidth="1"/>
    <col min="10477" max="10477" width="10.5703125" style="23" customWidth="1"/>
    <col min="10478" max="10700" width="9.140625" style="23"/>
    <col min="10701" max="10701" width="8.7109375" style="23" bestFit="1" customWidth="1"/>
    <col min="10702" max="10702" width="8.28515625" style="23" customWidth="1"/>
    <col min="10703" max="10703" width="12.7109375" style="23" customWidth="1"/>
    <col min="10704" max="10704" width="17" style="23" bestFit="1" customWidth="1"/>
    <col min="10705" max="10705" width="13.5703125" style="23" customWidth="1"/>
    <col min="10706" max="10706" width="17.7109375" style="23" customWidth="1"/>
    <col min="10707" max="10707" width="13.42578125" style="23" customWidth="1"/>
    <col min="10708" max="10708" width="11.42578125" style="23" customWidth="1"/>
    <col min="10709" max="10709" width="10.85546875" style="23" customWidth="1"/>
    <col min="10710" max="10710" width="9" style="23" bestFit="1" customWidth="1"/>
    <col min="10711" max="10711" width="10.85546875" style="23" customWidth="1"/>
    <col min="10712" max="10712" width="11" style="23" customWidth="1"/>
    <col min="10713" max="10713" width="43.5703125" style="23" customWidth="1"/>
    <col min="10714" max="10714" width="39.42578125" style="23" customWidth="1"/>
    <col min="10715" max="10715" width="9.140625" style="23"/>
    <col min="10716" max="10716" width="12.140625" style="23" customWidth="1"/>
    <col min="10717" max="10718" width="9.140625" style="23"/>
    <col min="10719" max="10719" width="11.85546875" style="23" customWidth="1"/>
    <col min="10720" max="10720" width="9.140625" style="23"/>
    <col min="10721" max="10721" width="13.5703125" style="23" customWidth="1"/>
    <col min="10722" max="10722" width="9" style="23" customWidth="1"/>
    <col min="10723" max="10723" width="10.85546875" style="23" customWidth="1"/>
    <col min="10724" max="10725" width="9.140625" style="23"/>
    <col min="10726" max="10726" width="11" style="23" customWidth="1"/>
    <col min="10727" max="10727" width="13.140625" style="23" customWidth="1"/>
    <col min="10728" max="10728" width="11.28515625" style="23" customWidth="1"/>
    <col min="10729" max="10731" width="9.140625" style="23"/>
    <col min="10732" max="10732" width="14.42578125" style="23" customWidth="1"/>
    <col min="10733" max="10733" width="10.5703125" style="23" customWidth="1"/>
    <col min="10734" max="10956" width="9.140625" style="23"/>
    <col min="10957" max="10957" width="8.7109375" style="23" bestFit="1" customWidth="1"/>
    <col min="10958" max="10958" width="8.28515625" style="23" customWidth="1"/>
    <col min="10959" max="10959" width="12.7109375" style="23" customWidth="1"/>
    <col min="10960" max="10960" width="17" style="23" bestFit="1" customWidth="1"/>
    <col min="10961" max="10961" width="13.5703125" style="23" customWidth="1"/>
    <col min="10962" max="10962" width="17.7109375" style="23" customWidth="1"/>
    <col min="10963" max="10963" width="13.42578125" style="23" customWidth="1"/>
    <col min="10964" max="10964" width="11.42578125" style="23" customWidth="1"/>
    <col min="10965" max="10965" width="10.85546875" style="23" customWidth="1"/>
    <col min="10966" max="10966" width="9" style="23" bestFit="1" customWidth="1"/>
    <col min="10967" max="10967" width="10.85546875" style="23" customWidth="1"/>
    <col min="10968" max="10968" width="11" style="23" customWidth="1"/>
    <col min="10969" max="10969" width="43.5703125" style="23" customWidth="1"/>
    <col min="10970" max="10970" width="39.42578125" style="23" customWidth="1"/>
    <col min="10971" max="10971" width="9.140625" style="23"/>
    <col min="10972" max="10972" width="12.140625" style="23" customWidth="1"/>
    <col min="10973" max="10974" width="9.140625" style="23"/>
    <col min="10975" max="10975" width="11.85546875" style="23" customWidth="1"/>
    <col min="10976" max="10976" width="9.140625" style="23"/>
    <col min="10977" max="10977" width="13.5703125" style="23" customWidth="1"/>
    <col min="10978" max="10978" width="9" style="23" customWidth="1"/>
    <col min="10979" max="10979" width="10.85546875" style="23" customWidth="1"/>
    <col min="10980" max="10981" width="9.140625" style="23"/>
    <col min="10982" max="10982" width="11" style="23" customWidth="1"/>
    <col min="10983" max="10983" width="13.140625" style="23" customWidth="1"/>
    <col min="10984" max="10984" width="11.28515625" style="23" customWidth="1"/>
    <col min="10985" max="10987" width="9.140625" style="23"/>
    <col min="10988" max="10988" width="14.42578125" style="23" customWidth="1"/>
    <col min="10989" max="10989" width="10.5703125" style="23" customWidth="1"/>
    <col min="10990" max="11212" width="9.140625" style="23"/>
    <col min="11213" max="11213" width="8.7109375" style="23" bestFit="1" customWidth="1"/>
    <col min="11214" max="11214" width="8.28515625" style="23" customWidth="1"/>
    <col min="11215" max="11215" width="12.7109375" style="23" customWidth="1"/>
    <col min="11216" max="11216" width="17" style="23" bestFit="1" customWidth="1"/>
    <col min="11217" max="11217" width="13.5703125" style="23" customWidth="1"/>
    <col min="11218" max="11218" width="17.7109375" style="23" customWidth="1"/>
    <col min="11219" max="11219" width="13.42578125" style="23" customWidth="1"/>
    <col min="11220" max="11220" width="11.42578125" style="23" customWidth="1"/>
    <col min="11221" max="11221" width="10.85546875" style="23" customWidth="1"/>
    <col min="11222" max="11222" width="9" style="23" bestFit="1" customWidth="1"/>
    <col min="11223" max="11223" width="10.85546875" style="23" customWidth="1"/>
    <col min="11224" max="11224" width="11" style="23" customWidth="1"/>
    <col min="11225" max="11225" width="43.5703125" style="23" customWidth="1"/>
    <col min="11226" max="11226" width="39.42578125" style="23" customWidth="1"/>
    <col min="11227" max="11227" width="9.140625" style="23"/>
    <col min="11228" max="11228" width="12.140625" style="23" customWidth="1"/>
    <col min="11229" max="11230" width="9.140625" style="23"/>
    <col min="11231" max="11231" width="11.85546875" style="23" customWidth="1"/>
    <col min="11232" max="11232" width="9.140625" style="23"/>
    <col min="11233" max="11233" width="13.5703125" style="23" customWidth="1"/>
    <col min="11234" max="11234" width="9" style="23" customWidth="1"/>
    <col min="11235" max="11235" width="10.85546875" style="23" customWidth="1"/>
    <col min="11236" max="11237" width="9.140625" style="23"/>
    <col min="11238" max="11238" width="11" style="23" customWidth="1"/>
    <col min="11239" max="11239" width="13.140625" style="23" customWidth="1"/>
    <col min="11240" max="11240" width="11.28515625" style="23" customWidth="1"/>
    <col min="11241" max="11243" width="9.140625" style="23"/>
    <col min="11244" max="11244" width="14.42578125" style="23" customWidth="1"/>
    <col min="11245" max="11245" width="10.5703125" style="23" customWidth="1"/>
    <col min="11246" max="11468" width="9.140625" style="23"/>
    <col min="11469" max="11469" width="8.7109375" style="23" bestFit="1" customWidth="1"/>
    <col min="11470" max="11470" width="8.28515625" style="23" customWidth="1"/>
    <col min="11471" max="11471" width="12.7109375" style="23" customWidth="1"/>
    <col min="11472" max="11472" width="17" style="23" bestFit="1" customWidth="1"/>
    <col min="11473" max="11473" width="13.5703125" style="23" customWidth="1"/>
    <col min="11474" max="11474" width="17.7109375" style="23" customWidth="1"/>
    <col min="11475" max="11475" width="13.42578125" style="23" customWidth="1"/>
    <col min="11476" max="11476" width="11.42578125" style="23" customWidth="1"/>
    <col min="11477" max="11477" width="10.85546875" style="23" customWidth="1"/>
    <col min="11478" max="11478" width="9" style="23" bestFit="1" customWidth="1"/>
    <col min="11479" max="11479" width="10.85546875" style="23" customWidth="1"/>
    <col min="11480" max="11480" width="11" style="23" customWidth="1"/>
    <col min="11481" max="11481" width="43.5703125" style="23" customWidth="1"/>
    <col min="11482" max="11482" width="39.42578125" style="23" customWidth="1"/>
    <col min="11483" max="11483" width="9.140625" style="23"/>
    <col min="11484" max="11484" width="12.140625" style="23" customWidth="1"/>
    <col min="11485" max="11486" width="9.140625" style="23"/>
    <col min="11487" max="11487" width="11.85546875" style="23" customWidth="1"/>
    <col min="11488" max="11488" width="9.140625" style="23"/>
    <col min="11489" max="11489" width="13.5703125" style="23" customWidth="1"/>
    <col min="11490" max="11490" width="9" style="23" customWidth="1"/>
    <col min="11491" max="11491" width="10.85546875" style="23" customWidth="1"/>
    <col min="11492" max="11493" width="9.140625" style="23"/>
    <col min="11494" max="11494" width="11" style="23" customWidth="1"/>
    <col min="11495" max="11495" width="13.140625" style="23" customWidth="1"/>
    <col min="11496" max="11496" width="11.28515625" style="23" customWidth="1"/>
    <col min="11497" max="11499" width="9.140625" style="23"/>
    <col min="11500" max="11500" width="14.42578125" style="23" customWidth="1"/>
    <col min="11501" max="11501" width="10.5703125" style="23" customWidth="1"/>
    <col min="11502" max="11724" width="9.140625" style="23"/>
    <col min="11725" max="11725" width="8.7109375" style="23" bestFit="1" customWidth="1"/>
    <col min="11726" max="11726" width="8.28515625" style="23" customWidth="1"/>
    <col min="11727" max="11727" width="12.7109375" style="23" customWidth="1"/>
    <col min="11728" max="11728" width="17" style="23" bestFit="1" customWidth="1"/>
    <col min="11729" max="11729" width="13.5703125" style="23" customWidth="1"/>
    <col min="11730" max="11730" width="17.7109375" style="23" customWidth="1"/>
    <col min="11731" max="11731" width="13.42578125" style="23" customWidth="1"/>
    <col min="11732" max="11732" width="11.42578125" style="23" customWidth="1"/>
    <col min="11733" max="11733" width="10.85546875" style="23" customWidth="1"/>
    <col min="11734" max="11734" width="9" style="23" bestFit="1" customWidth="1"/>
    <col min="11735" max="11735" width="10.85546875" style="23" customWidth="1"/>
    <col min="11736" max="11736" width="11" style="23" customWidth="1"/>
    <col min="11737" max="11737" width="43.5703125" style="23" customWidth="1"/>
    <col min="11738" max="11738" width="39.42578125" style="23" customWidth="1"/>
    <col min="11739" max="11739" width="9.140625" style="23"/>
    <col min="11740" max="11740" width="12.140625" style="23" customWidth="1"/>
    <col min="11741" max="11742" width="9.140625" style="23"/>
    <col min="11743" max="11743" width="11.85546875" style="23" customWidth="1"/>
    <col min="11744" max="11744" width="9.140625" style="23"/>
    <col min="11745" max="11745" width="13.5703125" style="23" customWidth="1"/>
    <col min="11746" max="11746" width="9" style="23" customWidth="1"/>
    <col min="11747" max="11747" width="10.85546875" style="23" customWidth="1"/>
    <col min="11748" max="11749" width="9.140625" style="23"/>
    <col min="11750" max="11750" width="11" style="23" customWidth="1"/>
    <col min="11751" max="11751" width="13.140625" style="23" customWidth="1"/>
    <col min="11752" max="11752" width="11.28515625" style="23" customWidth="1"/>
    <col min="11753" max="11755" width="9.140625" style="23"/>
    <col min="11756" max="11756" width="14.42578125" style="23" customWidth="1"/>
    <col min="11757" max="11757" width="10.5703125" style="23" customWidth="1"/>
    <col min="11758" max="11980" width="9.140625" style="23"/>
    <col min="11981" max="11981" width="8.7109375" style="23" bestFit="1" customWidth="1"/>
    <col min="11982" max="11982" width="8.28515625" style="23" customWidth="1"/>
    <col min="11983" max="11983" width="12.7109375" style="23" customWidth="1"/>
    <col min="11984" max="11984" width="17" style="23" bestFit="1" customWidth="1"/>
    <col min="11985" max="11985" width="13.5703125" style="23" customWidth="1"/>
    <col min="11986" max="11986" width="17.7109375" style="23" customWidth="1"/>
    <col min="11987" max="11987" width="13.42578125" style="23" customWidth="1"/>
    <col min="11988" max="11988" width="11.42578125" style="23" customWidth="1"/>
    <col min="11989" max="11989" width="10.85546875" style="23" customWidth="1"/>
    <col min="11990" max="11990" width="9" style="23" bestFit="1" customWidth="1"/>
    <col min="11991" max="11991" width="10.85546875" style="23" customWidth="1"/>
    <col min="11992" max="11992" width="11" style="23" customWidth="1"/>
    <col min="11993" max="11993" width="43.5703125" style="23" customWidth="1"/>
    <col min="11994" max="11994" width="39.42578125" style="23" customWidth="1"/>
    <col min="11995" max="11995" width="9.140625" style="23"/>
    <col min="11996" max="11996" width="12.140625" style="23" customWidth="1"/>
    <col min="11997" max="11998" width="9.140625" style="23"/>
    <col min="11999" max="11999" width="11.85546875" style="23" customWidth="1"/>
    <col min="12000" max="12000" width="9.140625" style="23"/>
    <col min="12001" max="12001" width="13.5703125" style="23" customWidth="1"/>
    <col min="12002" max="12002" width="9" style="23" customWidth="1"/>
    <col min="12003" max="12003" width="10.85546875" style="23" customWidth="1"/>
    <col min="12004" max="12005" width="9.140625" style="23"/>
    <col min="12006" max="12006" width="11" style="23" customWidth="1"/>
    <col min="12007" max="12007" width="13.140625" style="23" customWidth="1"/>
    <col min="12008" max="12008" width="11.28515625" style="23" customWidth="1"/>
    <col min="12009" max="12011" width="9.140625" style="23"/>
    <col min="12012" max="12012" width="14.42578125" style="23" customWidth="1"/>
    <col min="12013" max="12013" width="10.5703125" style="23" customWidth="1"/>
    <col min="12014" max="12236" width="9.140625" style="23"/>
    <col min="12237" max="12237" width="8.7109375" style="23" bestFit="1" customWidth="1"/>
    <col min="12238" max="12238" width="8.28515625" style="23" customWidth="1"/>
    <col min="12239" max="12239" width="12.7109375" style="23" customWidth="1"/>
    <col min="12240" max="12240" width="17" style="23" bestFit="1" customWidth="1"/>
    <col min="12241" max="12241" width="13.5703125" style="23" customWidth="1"/>
    <col min="12242" max="12242" width="17.7109375" style="23" customWidth="1"/>
    <col min="12243" max="12243" width="13.42578125" style="23" customWidth="1"/>
    <col min="12244" max="12244" width="11.42578125" style="23" customWidth="1"/>
    <col min="12245" max="12245" width="10.85546875" style="23" customWidth="1"/>
    <col min="12246" max="12246" width="9" style="23" bestFit="1" customWidth="1"/>
    <col min="12247" max="12247" width="10.85546875" style="23" customWidth="1"/>
    <col min="12248" max="12248" width="11" style="23" customWidth="1"/>
    <col min="12249" max="12249" width="43.5703125" style="23" customWidth="1"/>
    <col min="12250" max="12250" width="39.42578125" style="23" customWidth="1"/>
    <col min="12251" max="12251" width="9.140625" style="23"/>
    <col min="12252" max="12252" width="12.140625" style="23" customWidth="1"/>
    <col min="12253" max="12254" width="9.140625" style="23"/>
    <col min="12255" max="12255" width="11.85546875" style="23" customWidth="1"/>
    <col min="12256" max="12256" width="9.140625" style="23"/>
    <col min="12257" max="12257" width="13.5703125" style="23" customWidth="1"/>
    <col min="12258" max="12258" width="9" style="23" customWidth="1"/>
    <col min="12259" max="12259" width="10.85546875" style="23" customWidth="1"/>
    <col min="12260" max="12261" width="9.140625" style="23"/>
    <col min="12262" max="12262" width="11" style="23" customWidth="1"/>
    <col min="12263" max="12263" width="13.140625" style="23" customWidth="1"/>
    <col min="12264" max="12264" width="11.28515625" style="23" customWidth="1"/>
    <col min="12265" max="12267" width="9.140625" style="23"/>
    <col min="12268" max="12268" width="14.42578125" style="23" customWidth="1"/>
    <col min="12269" max="12269" width="10.5703125" style="23" customWidth="1"/>
    <col min="12270" max="12492" width="9.140625" style="23"/>
    <col min="12493" max="12493" width="8.7109375" style="23" bestFit="1" customWidth="1"/>
    <col min="12494" max="12494" width="8.28515625" style="23" customWidth="1"/>
    <col min="12495" max="12495" width="12.7109375" style="23" customWidth="1"/>
    <col min="12496" max="12496" width="17" style="23" bestFit="1" customWidth="1"/>
    <col min="12497" max="12497" width="13.5703125" style="23" customWidth="1"/>
    <col min="12498" max="12498" width="17.7109375" style="23" customWidth="1"/>
    <col min="12499" max="12499" width="13.42578125" style="23" customWidth="1"/>
    <col min="12500" max="12500" width="11.42578125" style="23" customWidth="1"/>
    <col min="12501" max="12501" width="10.85546875" style="23" customWidth="1"/>
    <col min="12502" max="12502" width="9" style="23" bestFit="1" customWidth="1"/>
    <col min="12503" max="12503" width="10.85546875" style="23" customWidth="1"/>
    <col min="12504" max="12504" width="11" style="23" customWidth="1"/>
    <col min="12505" max="12505" width="43.5703125" style="23" customWidth="1"/>
    <col min="12506" max="12506" width="39.42578125" style="23" customWidth="1"/>
    <col min="12507" max="12507" width="9.140625" style="23"/>
    <col min="12508" max="12508" width="12.140625" style="23" customWidth="1"/>
    <col min="12509" max="12510" width="9.140625" style="23"/>
    <col min="12511" max="12511" width="11.85546875" style="23" customWidth="1"/>
    <col min="12512" max="12512" width="9.140625" style="23"/>
    <col min="12513" max="12513" width="13.5703125" style="23" customWidth="1"/>
    <col min="12514" max="12514" width="9" style="23" customWidth="1"/>
    <col min="12515" max="12515" width="10.85546875" style="23" customWidth="1"/>
    <col min="12516" max="12517" width="9.140625" style="23"/>
    <col min="12518" max="12518" width="11" style="23" customWidth="1"/>
    <col min="12519" max="12519" width="13.140625" style="23" customWidth="1"/>
    <col min="12520" max="12520" width="11.28515625" style="23" customWidth="1"/>
    <col min="12521" max="12523" width="9.140625" style="23"/>
    <col min="12524" max="12524" width="14.42578125" style="23" customWidth="1"/>
    <col min="12525" max="12525" width="10.5703125" style="23" customWidth="1"/>
    <col min="12526" max="12748" width="9.140625" style="23"/>
    <col min="12749" max="12749" width="8.7109375" style="23" bestFit="1" customWidth="1"/>
    <col min="12750" max="12750" width="8.28515625" style="23" customWidth="1"/>
    <col min="12751" max="12751" width="12.7109375" style="23" customWidth="1"/>
    <col min="12752" max="12752" width="17" style="23" bestFit="1" customWidth="1"/>
    <col min="12753" max="12753" width="13.5703125" style="23" customWidth="1"/>
    <col min="12754" max="12754" width="17.7109375" style="23" customWidth="1"/>
    <col min="12755" max="12755" width="13.42578125" style="23" customWidth="1"/>
    <col min="12756" max="12756" width="11.42578125" style="23" customWidth="1"/>
    <col min="12757" max="12757" width="10.85546875" style="23" customWidth="1"/>
    <col min="12758" max="12758" width="9" style="23" bestFit="1" customWidth="1"/>
    <col min="12759" max="12759" width="10.85546875" style="23" customWidth="1"/>
    <col min="12760" max="12760" width="11" style="23" customWidth="1"/>
    <col min="12761" max="12761" width="43.5703125" style="23" customWidth="1"/>
    <col min="12762" max="12762" width="39.42578125" style="23" customWidth="1"/>
    <col min="12763" max="12763" width="9.140625" style="23"/>
    <col min="12764" max="12764" width="12.140625" style="23" customWidth="1"/>
    <col min="12765" max="12766" width="9.140625" style="23"/>
    <col min="12767" max="12767" width="11.85546875" style="23" customWidth="1"/>
    <col min="12768" max="12768" width="9.140625" style="23"/>
    <col min="12769" max="12769" width="13.5703125" style="23" customWidth="1"/>
    <col min="12770" max="12770" width="9" style="23" customWidth="1"/>
    <col min="12771" max="12771" width="10.85546875" style="23" customWidth="1"/>
    <col min="12772" max="12773" width="9.140625" style="23"/>
    <col min="12774" max="12774" width="11" style="23" customWidth="1"/>
    <col min="12775" max="12775" width="13.140625" style="23" customWidth="1"/>
    <col min="12776" max="12776" width="11.28515625" style="23" customWidth="1"/>
    <col min="12777" max="12779" width="9.140625" style="23"/>
    <col min="12780" max="12780" width="14.42578125" style="23" customWidth="1"/>
    <col min="12781" max="12781" width="10.5703125" style="23" customWidth="1"/>
    <col min="12782" max="13004" width="9.140625" style="23"/>
    <col min="13005" max="13005" width="8.7109375" style="23" bestFit="1" customWidth="1"/>
    <col min="13006" max="13006" width="8.28515625" style="23" customWidth="1"/>
    <col min="13007" max="13007" width="12.7109375" style="23" customWidth="1"/>
    <col min="13008" max="13008" width="17" style="23" bestFit="1" customWidth="1"/>
    <col min="13009" max="13009" width="13.5703125" style="23" customWidth="1"/>
    <col min="13010" max="13010" width="17.7109375" style="23" customWidth="1"/>
    <col min="13011" max="13011" width="13.42578125" style="23" customWidth="1"/>
    <col min="13012" max="13012" width="11.42578125" style="23" customWidth="1"/>
    <col min="13013" max="13013" width="10.85546875" style="23" customWidth="1"/>
    <col min="13014" max="13014" width="9" style="23" bestFit="1" customWidth="1"/>
    <col min="13015" max="13015" width="10.85546875" style="23" customWidth="1"/>
    <col min="13016" max="13016" width="11" style="23" customWidth="1"/>
    <col min="13017" max="13017" width="43.5703125" style="23" customWidth="1"/>
    <col min="13018" max="13018" width="39.42578125" style="23" customWidth="1"/>
    <col min="13019" max="13019" width="9.140625" style="23"/>
    <col min="13020" max="13020" width="12.140625" style="23" customWidth="1"/>
    <col min="13021" max="13022" width="9.140625" style="23"/>
    <col min="13023" max="13023" width="11.85546875" style="23" customWidth="1"/>
    <col min="13024" max="13024" width="9.140625" style="23"/>
    <col min="13025" max="13025" width="13.5703125" style="23" customWidth="1"/>
    <col min="13026" max="13026" width="9" style="23" customWidth="1"/>
    <col min="13027" max="13027" width="10.85546875" style="23" customWidth="1"/>
    <col min="13028" max="13029" width="9.140625" style="23"/>
    <col min="13030" max="13030" width="11" style="23" customWidth="1"/>
    <col min="13031" max="13031" width="13.140625" style="23" customWidth="1"/>
    <col min="13032" max="13032" width="11.28515625" style="23" customWidth="1"/>
    <col min="13033" max="13035" width="9.140625" style="23"/>
    <col min="13036" max="13036" width="14.42578125" style="23" customWidth="1"/>
    <col min="13037" max="13037" width="10.5703125" style="23" customWidth="1"/>
    <col min="13038" max="13260" width="9.140625" style="23"/>
    <col min="13261" max="13261" width="8.7109375" style="23" bestFit="1" customWidth="1"/>
    <col min="13262" max="13262" width="8.28515625" style="23" customWidth="1"/>
    <col min="13263" max="13263" width="12.7109375" style="23" customWidth="1"/>
    <col min="13264" max="13264" width="17" style="23" bestFit="1" customWidth="1"/>
    <col min="13265" max="13265" width="13.5703125" style="23" customWidth="1"/>
    <col min="13266" max="13266" width="17.7109375" style="23" customWidth="1"/>
    <col min="13267" max="13267" width="13.42578125" style="23" customWidth="1"/>
    <col min="13268" max="13268" width="11.42578125" style="23" customWidth="1"/>
    <col min="13269" max="13269" width="10.85546875" style="23" customWidth="1"/>
    <col min="13270" max="13270" width="9" style="23" bestFit="1" customWidth="1"/>
    <col min="13271" max="13271" width="10.85546875" style="23" customWidth="1"/>
    <col min="13272" max="13272" width="11" style="23" customWidth="1"/>
    <col min="13273" max="13273" width="43.5703125" style="23" customWidth="1"/>
    <col min="13274" max="13274" width="39.42578125" style="23" customWidth="1"/>
    <col min="13275" max="13275" width="9.140625" style="23"/>
    <col min="13276" max="13276" width="12.140625" style="23" customWidth="1"/>
    <col min="13277" max="13278" width="9.140625" style="23"/>
    <col min="13279" max="13279" width="11.85546875" style="23" customWidth="1"/>
    <col min="13280" max="13280" width="9.140625" style="23"/>
    <col min="13281" max="13281" width="13.5703125" style="23" customWidth="1"/>
    <col min="13282" max="13282" width="9" style="23" customWidth="1"/>
    <col min="13283" max="13283" width="10.85546875" style="23" customWidth="1"/>
    <col min="13284" max="13285" width="9.140625" style="23"/>
    <col min="13286" max="13286" width="11" style="23" customWidth="1"/>
    <col min="13287" max="13287" width="13.140625" style="23" customWidth="1"/>
    <col min="13288" max="13288" width="11.28515625" style="23" customWidth="1"/>
    <col min="13289" max="13291" width="9.140625" style="23"/>
    <col min="13292" max="13292" width="14.42578125" style="23" customWidth="1"/>
    <col min="13293" max="13293" width="10.5703125" style="23" customWidth="1"/>
    <col min="13294" max="13516" width="9.140625" style="23"/>
    <col min="13517" max="13517" width="8.7109375" style="23" bestFit="1" customWidth="1"/>
    <col min="13518" max="13518" width="8.28515625" style="23" customWidth="1"/>
    <col min="13519" max="13519" width="12.7109375" style="23" customWidth="1"/>
    <col min="13520" max="13520" width="17" style="23" bestFit="1" customWidth="1"/>
    <col min="13521" max="13521" width="13.5703125" style="23" customWidth="1"/>
    <col min="13522" max="13522" width="17.7109375" style="23" customWidth="1"/>
    <col min="13523" max="13523" width="13.42578125" style="23" customWidth="1"/>
    <col min="13524" max="13524" width="11.42578125" style="23" customWidth="1"/>
    <col min="13525" max="13525" width="10.85546875" style="23" customWidth="1"/>
    <col min="13526" max="13526" width="9" style="23" bestFit="1" customWidth="1"/>
    <col min="13527" max="13527" width="10.85546875" style="23" customWidth="1"/>
    <col min="13528" max="13528" width="11" style="23" customWidth="1"/>
    <col min="13529" max="13529" width="43.5703125" style="23" customWidth="1"/>
    <col min="13530" max="13530" width="39.42578125" style="23" customWidth="1"/>
    <col min="13531" max="13531" width="9.140625" style="23"/>
    <col min="13532" max="13532" width="12.140625" style="23" customWidth="1"/>
    <col min="13533" max="13534" width="9.140625" style="23"/>
    <col min="13535" max="13535" width="11.85546875" style="23" customWidth="1"/>
    <col min="13536" max="13536" width="9.140625" style="23"/>
    <col min="13537" max="13537" width="13.5703125" style="23" customWidth="1"/>
    <col min="13538" max="13538" width="9" style="23" customWidth="1"/>
    <col min="13539" max="13539" width="10.85546875" style="23" customWidth="1"/>
    <col min="13540" max="13541" width="9.140625" style="23"/>
    <col min="13542" max="13542" width="11" style="23" customWidth="1"/>
    <col min="13543" max="13543" width="13.140625" style="23" customWidth="1"/>
    <col min="13544" max="13544" width="11.28515625" style="23" customWidth="1"/>
    <col min="13545" max="13547" width="9.140625" style="23"/>
    <col min="13548" max="13548" width="14.42578125" style="23" customWidth="1"/>
    <col min="13549" max="13549" width="10.5703125" style="23" customWidth="1"/>
    <col min="13550" max="13772" width="9.140625" style="23"/>
    <col min="13773" max="13773" width="8.7109375" style="23" bestFit="1" customWidth="1"/>
    <col min="13774" max="13774" width="8.28515625" style="23" customWidth="1"/>
    <col min="13775" max="13775" width="12.7109375" style="23" customWidth="1"/>
    <col min="13776" max="13776" width="17" style="23" bestFit="1" customWidth="1"/>
    <col min="13777" max="13777" width="13.5703125" style="23" customWidth="1"/>
    <col min="13778" max="13778" width="17.7109375" style="23" customWidth="1"/>
    <col min="13779" max="13779" width="13.42578125" style="23" customWidth="1"/>
    <col min="13780" max="13780" width="11.42578125" style="23" customWidth="1"/>
    <col min="13781" max="13781" width="10.85546875" style="23" customWidth="1"/>
    <col min="13782" max="13782" width="9" style="23" bestFit="1" customWidth="1"/>
    <col min="13783" max="13783" width="10.85546875" style="23" customWidth="1"/>
    <col min="13784" max="13784" width="11" style="23" customWidth="1"/>
    <col min="13785" max="13785" width="43.5703125" style="23" customWidth="1"/>
    <col min="13786" max="13786" width="39.42578125" style="23" customWidth="1"/>
    <col min="13787" max="13787" width="9.140625" style="23"/>
    <col min="13788" max="13788" width="12.140625" style="23" customWidth="1"/>
    <col min="13789" max="13790" width="9.140625" style="23"/>
    <col min="13791" max="13791" width="11.85546875" style="23" customWidth="1"/>
    <col min="13792" max="13792" width="9.140625" style="23"/>
    <col min="13793" max="13793" width="13.5703125" style="23" customWidth="1"/>
    <col min="13794" max="13794" width="9" style="23" customWidth="1"/>
    <col min="13795" max="13795" width="10.85546875" style="23" customWidth="1"/>
    <col min="13796" max="13797" width="9.140625" style="23"/>
    <col min="13798" max="13798" width="11" style="23" customWidth="1"/>
    <col min="13799" max="13799" width="13.140625" style="23" customWidth="1"/>
    <col min="13800" max="13800" width="11.28515625" style="23" customWidth="1"/>
    <col min="13801" max="13803" width="9.140625" style="23"/>
    <col min="13804" max="13804" width="14.42578125" style="23" customWidth="1"/>
    <col min="13805" max="13805" width="10.5703125" style="23" customWidth="1"/>
    <col min="13806" max="14028" width="9.140625" style="23"/>
    <col min="14029" max="14029" width="8.7109375" style="23" bestFit="1" customWidth="1"/>
    <col min="14030" max="14030" width="8.28515625" style="23" customWidth="1"/>
    <col min="14031" max="14031" width="12.7109375" style="23" customWidth="1"/>
    <col min="14032" max="14032" width="17" style="23" bestFit="1" customWidth="1"/>
    <col min="14033" max="14033" width="13.5703125" style="23" customWidth="1"/>
    <col min="14034" max="14034" width="17.7109375" style="23" customWidth="1"/>
    <col min="14035" max="14035" width="13.42578125" style="23" customWidth="1"/>
    <col min="14036" max="14036" width="11.42578125" style="23" customWidth="1"/>
    <col min="14037" max="14037" width="10.85546875" style="23" customWidth="1"/>
    <col min="14038" max="14038" width="9" style="23" bestFit="1" customWidth="1"/>
    <col min="14039" max="14039" width="10.85546875" style="23" customWidth="1"/>
    <col min="14040" max="14040" width="11" style="23" customWidth="1"/>
    <col min="14041" max="14041" width="43.5703125" style="23" customWidth="1"/>
    <col min="14042" max="14042" width="39.42578125" style="23" customWidth="1"/>
    <col min="14043" max="14043" width="9.140625" style="23"/>
    <col min="14044" max="14044" width="12.140625" style="23" customWidth="1"/>
    <col min="14045" max="14046" width="9.140625" style="23"/>
    <col min="14047" max="14047" width="11.85546875" style="23" customWidth="1"/>
    <col min="14048" max="14048" width="9.140625" style="23"/>
    <col min="14049" max="14049" width="13.5703125" style="23" customWidth="1"/>
    <col min="14050" max="14050" width="9" style="23" customWidth="1"/>
    <col min="14051" max="14051" width="10.85546875" style="23" customWidth="1"/>
    <col min="14052" max="14053" width="9.140625" style="23"/>
    <col min="14054" max="14054" width="11" style="23" customWidth="1"/>
    <col min="14055" max="14055" width="13.140625" style="23" customWidth="1"/>
    <col min="14056" max="14056" width="11.28515625" style="23" customWidth="1"/>
    <col min="14057" max="14059" width="9.140625" style="23"/>
    <col min="14060" max="14060" width="14.42578125" style="23" customWidth="1"/>
    <col min="14061" max="14061" width="10.5703125" style="23" customWidth="1"/>
    <col min="14062" max="14284" width="9.140625" style="23"/>
    <col min="14285" max="14285" width="8.7109375" style="23" bestFit="1" customWidth="1"/>
    <col min="14286" max="14286" width="8.28515625" style="23" customWidth="1"/>
    <col min="14287" max="14287" width="12.7109375" style="23" customWidth="1"/>
    <col min="14288" max="14288" width="17" style="23" bestFit="1" customWidth="1"/>
    <col min="14289" max="14289" width="13.5703125" style="23" customWidth="1"/>
    <col min="14290" max="14290" width="17.7109375" style="23" customWidth="1"/>
    <col min="14291" max="14291" width="13.42578125" style="23" customWidth="1"/>
    <col min="14292" max="14292" width="11.42578125" style="23" customWidth="1"/>
    <col min="14293" max="14293" width="10.85546875" style="23" customWidth="1"/>
    <col min="14294" max="14294" width="9" style="23" bestFit="1" customWidth="1"/>
    <col min="14295" max="14295" width="10.85546875" style="23" customWidth="1"/>
    <col min="14296" max="14296" width="11" style="23" customWidth="1"/>
    <col min="14297" max="14297" width="43.5703125" style="23" customWidth="1"/>
    <col min="14298" max="14298" width="39.42578125" style="23" customWidth="1"/>
    <col min="14299" max="14299" width="9.140625" style="23"/>
    <col min="14300" max="14300" width="12.140625" style="23" customWidth="1"/>
    <col min="14301" max="14302" width="9.140625" style="23"/>
    <col min="14303" max="14303" width="11.85546875" style="23" customWidth="1"/>
    <col min="14304" max="14304" width="9.140625" style="23"/>
    <col min="14305" max="14305" width="13.5703125" style="23" customWidth="1"/>
    <col min="14306" max="14306" width="9" style="23" customWidth="1"/>
    <col min="14307" max="14307" width="10.85546875" style="23" customWidth="1"/>
    <col min="14308" max="14309" width="9.140625" style="23"/>
    <col min="14310" max="14310" width="11" style="23" customWidth="1"/>
    <col min="14311" max="14311" width="13.140625" style="23" customWidth="1"/>
    <col min="14312" max="14312" width="11.28515625" style="23" customWidth="1"/>
    <col min="14313" max="14315" width="9.140625" style="23"/>
    <col min="14316" max="14316" width="14.42578125" style="23" customWidth="1"/>
    <col min="14317" max="14317" width="10.5703125" style="23" customWidth="1"/>
    <col min="14318" max="14540" width="9.140625" style="23"/>
    <col min="14541" max="14541" width="8.7109375" style="23" bestFit="1" customWidth="1"/>
    <col min="14542" max="14542" width="8.28515625" style="23" customWidth="1"/>
    <col min="14543" max="14543" width="12.7109375" style="23" customWidth="1"/>
    <col min="14544" max="14544" width="17" style="23" bestFit="1" customWidth="1"/>
    <col min="14545" max="14545" width="13.5703125" style="23" customWidth="1"/>
    <col min="14546" max="14546" width="17.7109375" style="23" customWidth="1"/>
    <col min="14547" max="14547" width="13.42578125" style="23" customWidth="1"/>
    <col min="14548" max="14548" width="11.42578125" style="23" customWidth="1"/>
    <col min="14549" max="14549" width="10.85546875" style="23" customWidth="1"/>
    <col min="14550" max="14550" width="9" style="23" bestFit="1" customWidth="1"/>
    <col min="14551" max="14551" width="10.85546875" style="23" customWidth="1"/>
    <col min="14552" max="14552" width="11" style="23" customWidth="1"/>
    <col min="14553" max="14553" width="43.5703125" style="23" customWidth="1"/>
    <col min="14554" max="14554" width="39.42578125" style="23" customWidth="1"/>
    <col min="14555" max="14555" width="9.140625" style="23"/>
    <col min="14556" max="14556" width="12.140625" style="23" customWidth="1"/>
    <col min="14557" max="14558" width="9.140625" style="23"/>
    <col min="14559" max="14559" width="11.85546875" style="23" customWidth="1"/>
    <col min="14560" max="14560" width="9.140625" style="23"/>
    <col min="14561" max="14561" width="13.5703125" style="23" customWidth="1"/>
    <col min="14562" max="14562" width="9" style="23" customWidth="1"/>
    <col min="14563" max="14563" width="10.85546875" style="23" customWidth="1"/>
    <col min="14564" max="14565" width="9.140625" style="23"/>
    <col min="14566" max="14566" width="11" style="23" customWidth="1"/>
    <col min="14567" max="14567" width="13.140625" style="23" customWidth="1"/>
    <col min="14568" max="14568" width="11.28515625" style="23" customWidth="1"/>
    <col min="14569" max="14571" width="9.140625" style="23"/>
    <col min="14572" max="14572" width="14.42578125" style="23" customWidth="1"/>
    <col min="14573" max="14573" width="10.5703125" style="23" customWidth="1"/>
    <col min="14574" max="14796" width="9.140625" style="23"/>
    <col min="14797" max="14797" width="8.7109375" style="23" bestFit="1" customWidth="1"/>
    <col min="14798" max="14798" width="8.28515625" style="23" customWidth="1"/>
    <col min="14799" max="14799" width="12.7109375" style="23" customWidth="1"/>
    <col min="14800" max="14800" width="17" style="23" bestFit="1" customWidth="1"/>
    <col min="14801" max="14801" width="13.5703125" style="23" customWidth="1"/>
    <col min="14802" max="14802" width="17.7109375" style="23" customWidth="1"/>
    <col min="14803" max="14803" width="13.42578125" style="23" customWidth="1"/>
    <col min="14804" max="14804" width="11.42578125" style="23" customWidth="1"/>
    <col min="14805" max="14805" width="10.85546875" style="23" customWidth="1"/>
    <col min="14806" max="14806" width="9" style="23" bestFit="1" customWidth="1"/>
    <col min="14807" max="14807" width="10.85546875" style="23" customWidth="1"/>
    <col min="14808" max="14808" width="11" style="23" customWidth="1"/>
    <col min="14809" max="14809" width="43.5703125" style="23" customWidth="1"/>
    <col min="14810" max="14810" width="39.42578125" style="23" customWidth="1"/>
    <col min="14811" max="14811" width="9.140625" style="23"/>
    <col min="14812" max="14812" width="12.140625" style="23" customWidth="1"/>
    <col min="14813" max="14814" width="9.140625" style="23"/>
    <col min="14815" max="14815" width="11.85546875" style="23" customWidth="1"/>
    <col min="14816" max="14816" width="9.140625" style="23"/>
    <col min="14817" max="14817" width="13.5703125" style="23" customWidth="1"/>
    <col min="14818" max="14818" width="9" style="23" customWidth="1"/>
    <col min="14819" max="14819" width="10.85546875" style="23" customWidth="1"/>
    <col min="14820" max="14821" width="9.140625" style="23"/>
    <col min="14822" max="14822" width="11" style="23" customWidth="1"/>
    <col min="14823" max="14823" width="13.140625" style="23" customWidth="1"/>
    <col min="14824" max="14824" width="11.28515625" style="23" customWidth="1"/>
    <col min="14825" max="14827" width="9.140625" style="23"/>
    <col min="14828" max="14828" width="14.42578125" style="23" customWidth="1"/>
    <col min="14829" max="14829" width="10.5703125" style="23" customWidth="1"/>
    <col min="14830" max="15052" width="9.140625" style="23"/>
    <col min="15053" max="15053" width="8.7109375" style="23" bestFit="1" customWidth="1"/>
    <col min="15054" max="15054" width="8.28515625" style="23" customWidth="1"/>
    <col min="15055" max="15055" width="12.7109375" style="23" customWidth="1"/>
    <col min="15056" max="15056" width="17" style="23" bestFit="1" customWidth="1"/>
    <col min="15057" max="15057" width="13.5703125" style="23" customWidth="1"/>
    <col min="15058" max="15058" width="17.7109375" style="23" customWidth="1"/>
    <col min="15059" max="15059" width="13.42578125" style="23" customWidth="1"/>
    <col min="15060" max="15060" width="11.42578125" style="23" customWidth="1"/>
    <col min="15061" max="15061" width="10.85546875" style="23" customWidth="1"/>
    <col min="15062" max="15062" width="9" style="23" bestFit="1" customWidth="1"/>
    <col min="15063" max="15063" width="10.85546875" style="23" customWidth="1"/>
    <col min="15064" max="15064" width="11" style="23" customWidth="1"/>
    <col min="15065" max="15065" width="43.5703125" style="23" customWidth="1"/>
    <col min="15066" max="15066" width="39.42578125" style="23" customWidth="1"/>
    <col min="15067" max="15067" width="9.140625" style="23"/>
    <col min="15068" max="15068" width="12.140625" style="23" customWidth="1"/>
    <col min="15069" max="15070" width="9.140625" style="23"/>
    <col min="15071" max="15071" width="11.85546875" style="23" customWidth="1"/>
    <col min="15072" max="15072" width="9.140625" style="23"/>
    <col min="15073" max="15073" width="13.5703125" style="23" customWidth="1"/>
    <col min="15074" max="15074" width="9" style="23" customWidth="1"/>
    <col min="15075" max="15075" width="10.85546875" style="23" customWidth="1"/>
    <col min="15076" max="15077" width="9.140625" style="23"/>
    <col min="15078" max="15078" width="11" style="23" customWidth="1"/>
    <col min="15079" max="15079" width="13.140625" style="23" customWidth="1"/>
    <col min="15080" max="15080" width="11.28515625" style="23" customWidth="1"/>
    <col min="15081" max="15083" width="9.140625" style="23"/>
    <col min="15084" max="15084" width="14.42578125" style="23" customWidth="1"/>
    <col min="15085" max="15085" width="10.5703125" style="23" customWidth="1"/>
    <col min="15086" max="15308" width="9.140625" style="23"/>
    <col min="15309" max="15309" width="8.7109375" style="23" bestFit="1" customWidth="1"/>
    <col min="15310" max="15310" width="8.28515625" style="23" customWidth="1"/>
    <col min="15311" max="15311" width="12.7109375" style="23" customWidth="1"/>
    <col min="15312" max="15312" width="17" style="23" bestFit="1" customWidth="1"/>
    <col min="15313" max="15313" width="13.5703125" style="23" customWidth="1"/>
    <col min="15314" max="15314" width="17.7109375" style="23" customWidth="1"/>
    <col min="15315" max="15315" width="13.42578125" style="23" customWidth="1"/>
    <col min="15316" max="15316" width="11.42578125" style="23" customWidth="1"/>
    <col min="15317" max="15317" width="10.85546875" style="23" customWidth="1"/>
    <col min="15318" max="15318" width="9" style="23" bestFit="1" customWidth="1"/>
    <col min="15319" max="15319" width="10.85546875" style="23" customWidth="1"/>
    <col min="15320" max="15320" width="11" style="23" customWidth="1"/>
    <col min="15321" max="15321" width="43.5703125" style="23" customWidth="1"/>
    <col min="15322" max="15322" width="39.42578125" style="23" customWidth="1"/>
    <col min="15323" max="15323" width="9.140625" style="23"/>
    <col min="15324" max="15324" width="12.140625" style="23" customWidth="1"/>
    <col min="15325" max="15326" width="9.140625" style="23"/>
    <col min="15327" max="15327" width="11.85546875" style="23" customWidth="1"/>
    <col min="15328" max="15328" width="9.140625" style="23"/>
    <col min="15329" max="15329" width="13.5703125" style="23" customWidth="1"/>
    <col min="15330" max="15330" width="9" style="23" customWidth="1"/>
    <col min="15331" max="15331" width="10.85546875" style="23" customWidth="1"/>
    <col min="15332" max="15333" width="9.140625" style="23"/>
    <col min="15334" max="15334" width="11" style="23" customWidth="1"/>
    <col min="15335" max="15335" width="13.140625" style="23" customWidth="1"/>
    <col min="15336" max="15336" width="11.28515625" style="23" customWidth="1"/>
    <col min="15337" max="15339" width="9.140625" style="23"/>
    <col min="15340" max="15340" width="14.42578125" style="23" customWidth="1"/>
    <col min="15341" max="15341" width="10.5703125" style="23" customWidth="1"/>
    <col min="15342" max="15564" width="9.140625" style="23"/>
    <col min="15565" max="15565" width="8.7109375" style="23" bestFit="1" customWidth="1"/>
    <col min="15566" max="15566" width="8.28515625" style="23" customWidth="1"/>
    <col min="15567" max="15567" width="12.7109375" style="23" customWidth="1"/>
    <col min="15568" max="15568" width="17" style="23" bestFit="1" customWidth="1"/>
    <col min="15569" max="15569" width="13.5703125" style="23" customWidth="1"/>
    <col min="15570" max="15570" width="17.7109375" style="23" customWidth="1"/>
    <col min="15571" max="15571" width="13.42578125" style="23" customWidth="1"/>
    <col min="15572" max="15572" width="11.42578125" style="23" customWidth="1"/>
    <col min="15573" max="15573" width="10.85546875" style="23" customWidth="1"/>
    <col min="15574" max="15574" width="9" style="23" bestFit="1" customWidth="1"/>
    <col min="15575" max="15575" width="10.85546875" style="23" customWidth="1"/>
    <col min="15576" max="15576" width="11" style="23" customWidth="1"/>
    <col min="15577" max="15577" width="43.5703125" style="23" customWidth="1"/>
    <col min="15578" max="15578" width="39.42578125" style="23" customWidth="1"/>
    <col min="15579" max="15579" width="9.140625" style="23"/>
    <col min="15580" max="15580" width="12.140625" style="23" customWidth="1"/>
    <col min="15581" max="15582" width="9.140625" style="23"/>
    <col min="15583" max="15583" width="11.85546875" style="23" customWidth="1"/>
    <col min="15584" max="15584" width="9.140625" style="23"/>
    <col min="15585" max="15585" width="13.5703125" style="23" customWidth="1"/>
    <col min="15586" max="15586" width="9" style="23" customWidth="1"/>
    <col min="15587" max="15587" width="10.85546875" style="23" customWidth="1"/>
    <col min="15588" max="15589" width="9.140625" style="23"/>
    <col min="15590" max="15590" width="11" style="23" customWidth="1"/>
    <col min="15591" max="15591" width="13.140625" style="23" customWidth="1"/>
    <col min="15592" max="15592" width="11.28515625" style="23" customWidth="1"/>
    <col min="15593" max="15595" width="9.140625" style="23"/>
    <col min="15596" max="15596" width="14.42578125" style="23" customWidth="1"/>
    <col min="15597" max="15597" width="10.5703125" style="23" customWidth="1"/>
    <col min="15598" max="15820" width="9.140625" style="23"/>
    <col min="15821" max="15821" width="8.7109375" style="23" bestFit="1" customWidth="1"/>
    <col min="15822" max="15822" width="8.28515625" style="23" customWidth="1"/>
    <col min="15823" max="15823" width="12.7109375" style="23" customWidth="1"/>
    <col min="15824" max="15824" width="17" style="23" bestFit="1" customWidth="1"/>
    <col min="15825" max="15825" width="13.5703125" style="23" customWidth="1"/>
    <col min="15826" max="15826" width="17.7109375" style="23" customWidth="1"/>
    <col min="15827" max="15827" width="13.42578125" style="23" customWidth="1"/>
    <col min="15828" max="15828" width="11.42578125" style="23" customWidth="1"/>
    <col min="15829" max="15829" width="10.85546875" style="23" customWidth="1"/>
    <col min="15830" max="15830" width="9" style="23" bestFit="1" customWidth="1"/>
    <col min="15831" max="15831" width="10.85546875" style="23" customWidth="1"/>
    <col min="15832" max="15832" width="11" style="23" customWidth="1"/>
    <col min="15833" max="15833" width="43.5703125" style="23" customWidth="1"/>
    <col min="15834" max="15834" width="39.42578125" style="23" customWidth="1"/>
    <col min="15835" max="15835" width="9.140625" style="23"/>
    <col min="15836" max="15836" width="12.140625" style="23" customWidth="1"/>
    <col min="15837" max="15838" width="9.140625" style="23"/>
    <col min="15839" max="15839" width="11.85546875" style="23" customWidth="1"/>
    <col min="15840" max="15840" width="9.140625" style="23"/>
    <col min="15841" max="15841" width="13.5703125" style="23" customWidth="1"/>
    <col min="15842" max="15842" width="9" style="23" customWidth="1"/>
    <col min="15843" max="15843" width="10.85546875" style="23" customWidth="1"/>
    <col min="15844" max="15845" width="9.140625" style="23"/>
    <col min="15846" max="15846" width="11" style="23" customWidth="1"/>
    <col min="15847" max="15847" width="13.140625" style="23" customWidth="1"/>
    <col min="15848" max="15848" width="11.28515625" style="23" customWidth="1"/>
    <col min="15849" max="15851" width="9.140625" style="23"/>
    <col min="15852" max="15852" width="14.42578125" style="23" customWidth="1"/>
    <col min="15853" max="15853" width="10.5703125" style="23" customWidth="1"/>
    <col min="15854" max="16076" width="9.140625" style="23"/>
    <col min="16077" max="16077" width="8.7109375" style="23" bestFit="1" customWidth="1"/>
    <col min="16078" max="16078" width="8.28515625" style="23" customWidth="1"/>
    <col min="16079" max="16079" width="12.7109375" style="23" customWidth="1"/>
    <col min="16080" max="16080" width="17" style="23" bestFit="1" customWidth="1"/>
    <col min="16081" max="16081" width="13.5703125" style="23" customWidth="1"/>
    <col min="16082" max="16082" width="17.7109375" style="23" customWidth="1"/>
    <col min="16083" max="16083" width="13.42578125" style="23" customWidth="1"/>
    <col min="16084" max="16084" width="11.42578125" style="23" customWidth="1"/>
    <col min="16085" max="16085" width="10.85546875" style="23" customWidth="1"/>
    <col min="16086" max="16086" width="9" style="23" bestFit="1" customWidth="1"/>
    <col min="16087" max="16087" width="10.85546875" style="23" customWidth="1"/>
    <col min="16088" max="16088" width="11" style="23" customWidth="1"/>
    <col min="16089" max="16089" width="43.5703125" style="23" customWidth="1"/>
    <col min="16090" max="16090" width="39.42578125" style="23" customWidth="1"/>
    <col min="16091" max="16091" width="9.140625" style="23"/>
    <col min="16092" max="16092" width="12.140625" style="23" customWidth="1"/>
    <col min="16093" max="16094" width="9.140625" style="23"/>
    <col min="16095" max="16095" width="11.85546875" style="23" customWidth="1"/>
    <col min="16096" max="16096" width="9.140625" style="23"/>
    <col min="16097" max="16097" width="13.5703125" style="23" customWidth="1"/>
    <col min="16098" max="16098" width="9" style="23" customWidth="1"/>
    <col min="16099" max="16099" width="10.85546875" style="23" customWidth="1"/>
    <col min="16100" max="16101" width="9.140625" style="23"/>
    <col min="16102" max="16102" width="11" style="23" customWidth="1"/>
    <col min="16103" max="16103" width="13.140625" style="23" customWidth="1"/>
    <col min="16104" max="16104" width="11.28515625" style="23" customWidth="1"/>
    <col min="16105" max="16107" width="9.140625" style="23"/>
    <col min="16108" max="16108" width="14.42578125" style="23" customWidth="1"/>
    <col min="16109" max="16109" width="10.5703125" style="23" customWidth="1"/>
    <col min="16110" max="16384" width="9.140625" style="23"/>
  </cols>
  <sheetData>
    <row r="1" spans="1:17" s="78" customFormat="1" ht="37.5" thickTop="1" thickBot="1">
      <c r="A1" s="38" t="s">
        <v>0</v>
      </c>
      <c r="B1" s="165" t="s">
        <v>1</v>
      </c>
      <c r="C1" s="26" t="s">
        <v>2</v>
      </c>
      <c r="D1" s="37" t="s">
        <v>3</v>
      </c>
      <c r="E1" s="38" t="s">
        <v>734</v>
      </c>
      <c r="F1" s="38" t="s">
        <v>730</v>
      </c>
      <c r="G1" s="38" t="s">
        <v>731</v>
      </c>
      <c r="H1" s="38" t="s">
        <v>733</v>
      </c>
      <c r="I1" s="38" t="s">
        <v>737</v>
      </c>
      <c r="J1" s="112" t="s">
        <v>732</v>
      </c>
      <c r="K1" s="38" t="s">
        <v>4</v>
      </c>
      <c r="L1" s="38" t="s">
        <v>5</v>
      </c>
      <c r="M1" s="126" t="s">
        <v>738</v>
      </c>
      <c r="N1" s="141" t="s">
        <v>739</v>
      </c>
      <c r="O1" s="127" t="s">
        <v>740</v>
      </c>
      <c r="P1" s="157" t="s">
        <v>735</v>
      </c>
      <c r="Q1" s="158" t="s">
        <v>736</v>
      </c>
    </row>
    <row r="2" spans="1:17" ht="91.5" thickTop="1" thickBot="1">
      <c r="A2" s="12" t="s">
        <v>6</v>
      </c>
      <c r="B2" s="166">
        <v>232.1</v>
      </c>
      <c r="C2" s="10" t="s">
        <v>7</v>
      </c>
      <c r="D2" s="10">
        <f>B2/15/20*20</f>
        <v>15.473333333333333</v>
      </c>
      <c r="E2" s="1">
        <v>0.8</v>
      </c>
      <c r="F2" s="108">
        <v>0.8</v>
      </c>
      <c r="G2" s="109">
        <f t="shared" ref="G2:G66" si="0">IF(AND(F2&gt;=0.15, F2&lt;=0.45), 0.1, IF(AND(F2&gt;=0.5, F2&lt;=0.9), F2-0.4, F2))</f>
        <v>0.4</v>
      </c>
      <c r="H2" s="109">
        <v>0.4</v>
      </c>
      <c r="I2" s="109">
        <v>0.8</v>
      </c>
      <c r="J2" s="113">
        <f>H2</f>
        <v>0.4</v>
      </c>
      <c r="K2" s="12" t="s">
        <v>8</v>
      </c>
      <c r="L2" s="12" t="s">
        <v>9</v>
      </c>
      <c r="M2" s="129">
        <v>0.4</v>
      </c>
      <c r="N2" s="142">
        <f>B2*I2*1.12*1.1</f>
        <v>228.75776000000005</v>
      </c>
      <c r="O2" s="128">
        <f>B2*M2*1.12*1.1</f>
        <v>114.37888000000002</v>
      </c>
      <c r="P2" s="159">
        <f>ROUND(N2, 1)</f>
        <v>228.8</v>
      </c>
      <c r="Q2" s="160">
        <f>ROUND(O2, 1)</f>
        <v>114.4</v>
      </c>
    </row>
    <row r="3" spans="1:17" ht="91.5" thickTop="1" thickBot="1">
      <c r="A3" s="12" t="s">
        <v>10</v>
      </c>
      <c r="B3" s="166">
        <v>232.1</v>
      </c>
      <c r="C3" s="10" t="s">
        <v>7</v>
      </c>
      <c r="D3" s="31">
        <f>B3/15/20*20</f>
        <v>15.473333333333333</v>
      </c>
      <c r="E3" s="1">
        <v>0.8</v>
      </c>
      <c r="F3" s="95">
        <v>0.8</v>
      </c>
      <c r="G3" s="109">
        <f t="shared" si="0"/>
        <v>0.4</v>
      </c>
      <c r="H3" s="109">
        <v>0.4</v>
      </c>
      <c r="I3" s="109">
        <v>0.8</v>
      </c>
      <c r="J3" s="113">
        <f t="shared" ref="J3:J66" si="1">H3</f>
        <v>0.4</v>
      </c>
      <c r="K3" s="12" t="s">
        <v>8</v>
      </c>
      <c r="L3" s="12" t="s">
        <v>9</v>
      </c>
      <c r="M3" s="129">
        <v>0.4</v>
      </c>
      <c r="N3" s="142">
        <f t="shared" ref="N3:N66" si="2">B3*I3*1.12*1.1</f>
        <v>228.75776000000005</v>
      </c>
      <c r="O3" s="128">
        <f t="shared" ref="O3:O66" si="3">B3*M3*1.12*1.1</f>
        <v>114.37888000000002</v>
      </c>
      <c r="P3" s="159">
        <f t="shared" ref="P3:P66" si="4">ROUND(N3, 1)</f>
        <v>228.8</v>
      </c>
      <c r="Q3" s="160">
        <f t="shared" ref="Q3:Q66" si="5">ROUND(O3, 1)</f>
        <v>114.4</v>
      </c>
    </row>
    <row r="4" spans="1:17" ht="91.5" thickTop="1" thickBot="1">
      <c r="A4" s="12" t="s">
        <v>11</v>
      </c>
      <c r="B4" s="166">
        <v>98.8</v>
      </c>
      <c r="C4" s="10" t="s">
        <v>12</v>
      </c>
      <c r="D4" s="10">
        <f>B4/14/20*40</f>
        <v>14.114285714285714</v>
      </c>
      <c r="E4" s="1">
        <v>0.8</v>
      </c>
      <c r="F4" s="95">
        <v>0.8</v>
      </c>
      <c r="G4" s="109">
        <f t="shared" si="0"/>
        <v>0.4</v>
      </c>
      <c r="H4" s="109">
        <v>0.4</v>
      </c>
      <c r="I4" s="109">
        <v>0.8</v>
      </c>
      <c r="J4" s="113">
        <f t="shared" si="1"/>
        <v>0.4</v>
      </c>
      <c r="K4" s="12" t="s">
        <v>13</v>
      </c>
      <c r="L4" s="12" t="s">
        <v>14</v>
      </c>
      <c r="M4" s="129">
        <v>0.4</v>
      </c>
      <c r="N4" s="142">
        <f t="shared" si="2"/>
        <v>97.377280000000027</v>
      </c>
      <c r="O4" s="128">
        <f t="shared" si="3"/>
        <v>48.688640000000014</v>
      </c>
      <c r="P4" s="159">
        <f t="shared" si="4"/>
        <v>97.4</v>
      </c>
      <c r="Q4" s="160">
        <f t="shared" si="5"/>
        <v>48.7</v>
      </c>
    </row>
    <row r="5" spans="1:17" ht="91.5" thickTop="1" thickBot="1">
      <c r="A5" s="12" t="s">
        <v>11</v>
      </c>
      <c r="B5" s="167">
        <v>119</v>
      </c>
      <c r="C5" s="10" t="s">
        <v>12</v>
      </c>
      <c r="D5" s="10">
        <f>B5/14/40*40</f>
        <v>8.5</v>
      </c>
      <c r="E5" s="1">
        <v>0.8</v>
      </c>
      <c r="F5" s="95">
        <v>0.8</v>
      </c>
      <c r="G5" s="109">
        <f t="shared" si="0"/>
        <v>0.4</v>
      </c>
      <c r="H5" s="109">
        <v>0.4</v>
      </c>
      <c r="I5" s="109">
        <v>0.8</v>
      </c>
      <c r="J5" s="113">
        <f t="shared" si="1"/>
        <v>0.4</v>
      </c>
      <c r="K5" s="12" t="s">
        <v>13</v>
      </c>
      <c r="L5" s="12" t="s">
        <v>14</v>
      </c>
      <c r="M5" s="129">
        <v>0.4</v>
      </c>
      <c r="N5" s="142">
        <f t="shared" si="2"/>
        <v>117.28640000000001</v>
      </c>
      <c r="O5" s="128">
        <f t="shared" si="3"/>
        <v>58.643200000000007</v>
      </c>
      <c r="P5" s="159">
        <f t="shared" si="4"/>
        <v>117.3</v>
      </c>
      <c r="Q5" s="160">
        <f t="shared" si="5"/>
        <v>58.6</v>
      </c>
    </row>
    <row r="6" spans="1:17" ht="91.5" thickTop="1" thickBot="1">
      <c r="A6" s="12" t="s">
        <v>16</v>
      </c>
      <c r="B6" s="166">
        <v>98.8</v>
      </c>
      <c r="C6" s="10" t="s">
        <v>12</v>
      </c>
      <c r="D6" s="10">
        <f>B6/14/20*40</f>
        <v>14.114285714285714</v>
      </c>
      <c r="E6" s="1">
        <v>0.8</v>
      </c>
      <c r="F6" s="95">
        <v>0.8</v>
      </c>
      <c r="G6" s="109">
        <f t="shared" si="0"/>
        <v>0.4</v>
      </c>
      <c r="H6" s="109">
        <v>0.4</v>
      </c>
      <c r="I6" s="109">
        <v>0.8</v>
      </c>
      <c r="J6" s="113">
        <f t="shared" si="1"/>
        <v>0.4</v>
      </c>
      <c r="K6" s="12" t="s">
        <v>13</v>
      </c>
      <c r="L6" s="12" t="s">
        <v>14</v>
      </c>
      <c r="M6" s="129">
        <v>0.4</v>
      </c>
      <c r="N6" s="142">
        <f t="shared" si="2"/>
        <v>97.377280000000027</v>
      </c>
      <c r="O6" s="128">
        <f t="shared" si="3"/>
        <v>48.688640000000014</v>
      </c>
      <c r="P6" s="159">
        <f t="shared" si="4"/>
        <v>97.4</v>
      </c>
      <c r="Q6" s="160">
        <f t="shared" si="5"/>
        <v>48.7</v>
      </c>
    </row>
    <row r="7" spans="1:17" ht="91.5" thickTop="1" thickBot="1">
      <c r="A7" s="12" t="s">
        <v>16</v>
      </c>
      <c r="B7" s="166">
        <v>197.6</v>
      </c>
      <c r="C7" s="10" t="s">
        <v>12</v>
      </c>
      <c r="D7" s="10">
        <f>B7/28/20*40</f>
        <v>14.114285714285714</v>
      </c>
      <c r="E7" s="1">
        <v>0.8</v>
      </c>
      <c r="F7" s="95">
        <v>0.8</v>
      </c>
      <c r="G7" s="109">
        <f t="shared" si="0"/>
        <v>0.4</v>
      </c>
      <c r="H7" s="109">
        <v>0.4</v>
      </c>
      <c r="I7" s="109">
        <v>0.8</v>
      </c>
      <c r="J7" s="113">
        <f t="shared" si="1"/>
        <v>0.4</v>
      </c>
      <c r="K7" s="12" t="s">
        <v>13</v>
      </c>
      <c r="L7" s="12" t="s">
        <v>14</v>
      </c>
      <c r="M7" s="129">
        <v>0.4</v>
      </c>
      <c r="N7" s="142">
        <f t="shared" si="2"/>
        <v>194.75456000000005</v>
      </c>
      <c r="O7" s="128">
        <f t="shared" si="3"/>
        <v>97.377280000000027</v>
      </c>
      <c r="P7" s="159">
        <f t="shared" si="4"/>
        <v>194.8</v>
      </c>
      <c r="Q7" s="160">
        <f t="shared" si="5"/>
        <v>97.4</v>
      </c>
    </row>
    <row r="8" spans="1:17" ht="91.5" thickTop="1" thickBot="1">
      <c r="A8" s="12" t="s">
        <v>16</v>
      </c>
      <c r="B8" s="167">
        <v>119</v>
      </c>
      <c r="C8" s="10" t="s">
        <v>12</v>
      </c>
      <c r="D8" s="10">
        <f>B8/14/40*40</f>
        <v>8.5</v>
      </c>
      <c r="E8" s="1">
        <v>0.8</v>
      </c>
      <c r="F8" s="95">
        <v>0.8</v>
      </c>
      <c r="G8" s="109">
        <f t="shared" si="0"/>
        <v>0.4</v>
      </c>
      <c r="H8" s="109">
        <v>0.4</v>
      </c>
      <c r="I8" s="109">
        <v>0.8</v>
      </c>
      <c r="J8" s="113">
        <f t="shared" si="1"/>
        <v>0.4</v>
      </c>
      <c r="K8" s="12" t="s">
        <v>13</v>
      </c>
      <c r="L8" s="12" t="s">
        <v>14</v>
      </c>
      <c r="M8" s="129">
        <v>0.4</v>
      </c>
      <c r="N8" s="142">
        <f t="shared" si="2"/>
        <v>117.28640000000001</v>
      </c>
      <c r="O8" s="128">
        <f t="shared" si="3"/>
        <v>58.643200000000007</v>
      </c>
      <c r="P8" s="159">
        <f t="shared" si="4"/>
        <v>117.3</v>
      </c>
      <c r="Q8" s="160">
        <f t="shared" si="5"/>
        <v>58.6</v>
      </c>
    </row>
    <row r="9" spans="1:17" ht="91.5" thickTop="1" thickBot="1">
      <c r="A9" s="12" t="s">
        <v>16</v>
      </c>
      <c r="B9" s="166">
        <v>238</v>
      </c>
      <c r="C9" s="10" t="s">
        <v>12</v>
      </c>
      <c r="D9" s="10">
        <f>B9/28/40*40</f>
        <v>8.5</v>
      </c>
      <c r="E9" s="1">
        <v>0.8</v>
      </c>
      <c r="F9" s="95">
        <v>0.8</v>
      </c>
      <c r="G9" s="109">
        <f t="shared" si="0"/>
        <v>0.4</v>
      </c>
      <c r="H9" s="109">
        <v>0.4</v>
      </c>
      <c r="I9" s="109">
        <v>0.8</v>
      </c>
      <c r="J9" s="113">
        <f t="shared" si="1"/>
        <v>0.4</v>
      </c>
      <c r="K9" s="12" t="s">
        <v>13</v>
      </c>
      <c r="L9" s="12" t="s">
        <v>14</v>
      </c>
      <c r="M9" s="129">
        <v>0.4</v>
      </c>
      <c r="N9" s="142">
        <f t="shared" si="2"/>
        <v>234.57280000000003</v>
      </c>
      <c r="O9" s="128">
        <f t="shared" si="3"/>
        <v>117.28640000000001</v>
      </c>
      <c r="P9" s="159">
        <f t="shared" si="4"/>
        <v>234.6</v>
      </c>
      <c r="Q9" s="160">
        <f t="shared" si="5"/>
        <v>117.3</v>
      </c>
    </row>
    <row r="10" spans="1:17" ht="91.5" thickTop="1" thickBot="1">
      <c r="A10" s="13" t="s">
        <v>17</v>
      </c>
      <c r="B10" s="167">
        <v>98.8</v>
      </c>
      <c r="C10" s="19" t="s">
        <v>12</v>
      </c>
      <c r="D10" s="10">
        <f>B10/14/20*40</f>
        <v>14.114285714285714</v>
      </c>
      <c r="E10" s="2">
        <v>0.8</v>
      </c>
      <c r="F10" s="96">
        <v>0.8</v>
      </c>
      <c r="G10" s="109">
        <f t="shared" si="0"/>
        <v>0.4</v>
      </c>
      <c r="H10" s="109">
        <v>0.4</v>
      </c>
      <c r="I10" s="109">
        <v>0.8</v>
      </c>
      <c r="J10" s="113">
        <f t="shared" si="1"/>
        <v>0.4</v>
      </c>
      <c r="K10" s="12" t="s">
        <v>13</v>
      </c>
      <c r="L10" s="12" t="s">
        <v>14</v>
      </c>
      <c r="M10" s="129">
        <v>0.4</v>
      </c>
      <c r="N10" s="142">
        <f t="shared" si="2"/>
        <v>97.377280000000027</v>
      </c>
      <c r="O10" s="128">
        <f t="shared" si="3"/>
        <v>48.688640000000014</v>
      </c>
      <c r="P10" s="159">
        <f t="shared" si="4"/>
        <v>97.4</v>
      </c>
      <c r="Q10" s="160">
        <f t="shared" si="5"/>
        <v>48.7</v>
      </c>
    </row>
    <row r="11" spans="1:17" ht="91.5" thickTop="1" thickBot="1">
      <c r="A11" s="13" t="s">
        <v>17</v>
      </c>
      <c r="B11" s="167">
        <v>119</v>
      </c>
      <c r="C11" s="19" t="s">
        <v>12</v>
      </c>
      <c r="D11" s="10">
        <f>B11/14/40*40</f>
        <v>8.5</v>
      </c>
      <c r="E11" s="79">
        <v>0.8</v>
      </c>
      <c r="F11" s="31">
        <v>0.8</v>
      </c>
      <c r="G11" s="109">
        <f t="shared" si="0"/>
        <v>0.4</v>
      </c>
      <c r="H11" s="109">
        <v>0.4</v>
      </c>
      <c r="I11" s="109">
        <v>0.8</v>
      </c>
      <c r="J11" s="113">
        <f t="shared" si="1"/>
        <v>0.4</v>
      </c>
      <c r="K11" s="12" t="s">
        <v>13</v>
      </c>
      <c r="L11" s="12" t="s">
        <v>14</v>
      </c>
      <c r="M11" s="129">
        <v>0.4</v>
      </c>
      <c r="N11" s="142">
        <f t="shared" si="2"/>
        <v>117.28640000000001</v>
      </c>
      <c r="O11" s="128">
        <f t="shared" si="3"/>
        <v>58.643200000000007</v>
      </c>
      <c r="P11" s="159">
        <f t="shared" si="4"/>
        <v>117.3</v>
      </c>
      <c r="Q11" s="160">
        <f t="shared" si="5"/>
        <v>58.6</v>
      </c>
    </row>
    <row r="12" spans="1:17" s="80" customFormat="1" ht="91.5" thickTop="1" thickBot="1">
      <c r="A12" s="41" t="s">
        <v>18</v>
      </c>
      <c r="B12" s="167">
        <v>174.2</v>
      </c>
      <c r="C12" s="19" t="s">
        <v>7</v>
      </c>
      <c r="D12" s="10">
        <f>B12/14/10*20</f>
        <v>24.885714285714286</v>
      </c>
      <c r="E12" s="42">
        <v>0.9</v>
      </c>
      <c r="F12" s="97">
        <v>0.9</v>
      </c>
      <c r="G12" s="109">
        <f t="shared" si="0"/>
        <v>0.5</v>
      </c>
      <c r="H12" s="109">
        <v>0.5</v>
      </c>
      <c r="I12" s="109">
        <v>0.9</v>
      </c>
      <c r="J12" s="113">
        <f t="shared" si="1"/>
        <v>0.5</v>
      </c>
      <c r="K12" s="41" t="s">
        <v>8</v>
      </c>
      <c r="L12" s="41" t="s">
        <v>19</v>
      </c>
      <c r="M12" s="130">
        <v>0.5</v>
      </c>
      <c r="N12" s="142">
        <f t="shared" si="2"/>
        <v>193.15296000000004</v>
      </c>
      <c r="O12" s="128">
        <f t="shared" si="3"/>
        <v>107.30720000000002</v>
      </c>
      <c r="P12" s="159">
        <f t="shared" si="4"/>
        <v>193.2</v>
      </c>
      <c r="Q12" s="160">
        <f t="shared" si="5"/>
        <v>107.3</v>
      </c>
    </row>
    <row r="13" spans="1:17" ht="91.5" thickTop="1" thickBot="1">
      <c r="A13" s="12" t="s">
        <v>18</v>
      </c>
      <c r="B13" s="167">
        <v>304.10000000000002</v>
      </c>
      <c r="C13" s="19" t="s">
        <v>7</v>
      </c>
      <c r="D13" s="19">
        <f>B13/14/20*20</f>
        <v>21.721428571428572</v>
      </c>
      <c r="E13" s="11">
        <v>0.9</v>
      </c>
      <c r="F13" s="27">
        <v>0.9</v>
      </c>
      <c r="G13" s="109">
        <f t="shared" si="0"/>
        <v>0.5</v>
      </c>
      <c r="H13" s="109">
        <v>0.5</v>
      </c>
      <c r="I13" s="109">
        <v>0.9</v>
      </c>
      <c r="J13" s="113">
        <f t="shared" si="1"/>
        <v>0.5</v>
      </c>
      <c r="K13" s="12" t="s">
        <v>8</v>
      </c>
      <c r="L13" s="12" t="s">
        <v>19</v>
      </c>
      <c r="M13" s="129">
        <v>0.5</v>
      </c>
      <c r="N13" s="142">
        <f t="shared" si="2"/>
        <v>337.18608000000012</v>
      </c>
      <c r="O13" s="128">
        <f t="shared" si="3"/>
        <v>187.32560000000004</v>
      </c>
      <c r="P13" s="159">
        <f t="shared" si="4"/>
        <v>337.2</v>
      </c>
      <c r="Q13" s="160">
        <f t="shared" si="5"/>
        <v>187.3</v>
      </c>
    </row>
    <row r="14" spans="1:17" ht="91.5" thickTop="1" thickBot="1">
      <c r="A14" s="43" t="s">
        <v>20</v>
      </c>
      <c r="B14" s="167">
        <v>304.10000000000002</v>
      </c>
      <c r="C14" s="10" t="s">
        <v>7</v>
      </c>
      <c r="D14" s="10">
        <f>B14/(14*20)*20</f>
        <v>21.721428571428572</v>
      </c>
      <c r="E14" s="11">
        <v>0.9</v>
      </c>
      <c r="F14" s="27">
        <v>0.9</v>
      </c>
      <c r="G14" s="109">
        <f t="shared" si="0"/>
        <v>0.5</v>
      </c>
      <c r="H14" s="109">
        <v>0.5</v>
      </c>
      <c r="I14" s="109">
        <v>0.9</v>
      </c>
      <c r="J14" s="113">
        <f t="shared" si="1"/>
        <v>0.5</v>
      </c>
      <c r="K14" s="12" t="s">
        <v>8</v>
      </c>
      <c r="L14" s="12" t="s">
        <v>19</v>
      </c>
      <c r="M14" s="129">
        <v>0.5</v>
      </c>
      <c r="N14" s="142">
        <f t="shared" si="2"/>
        <v>337.18608000000012</v>
      </c>
      <c r="O14" s="128">
        <f t="shared" si="3"/>
        <v>187.32560000000004</v>
      </c>
      <c r="P14" s="159">
        <f t="shared" si="4"/>
        <v>337.2</v>
      </c>
      <c r="Q14" s="160">
        <f t="shared" si="5"/>
        <v>187.3</v>
      </c>
    </row>
    <row r="15" spans="1:17" ht="91.5" thickTop="1" thickBot="1">
      <c r="A15" s="12" t="s">
        <v>21</v>
      </c>
      <c r="B15" s="166">
        <v>150</v>
      </c>
      <c r="C15" s="10" t="s">
        <v>22</v>
      </c>
      <c r="D15" s="10">
        <f>B15/14/20*30</f>
        <v>16.071428571428569</v>
      </c>
      <c r="E15" s="1">
        <v>0.75</v>
      </c>
      <c r="F15" s="95">
        <v>0.75</v>
      </c>
      <c r="G15" s="109">
        <f t="shared" si="0"/>
        <v>0.35</v>
      </c>
      <c r="H15" s="109">
        <v>0.35</v>
      </c>
      <c r="I15" s="109">
        <v>0.75</v>
      </c>
      <c r="J15" s="113">
        <f t="shared" si="1"/>
        <v>0.35</v>
      </c>
      <c r="K15" s="12" t="s">
        <v>8</v>
      </c>
      <c r="L15" s="12" t="s">
        <v>23</v>
      </c>
      <c r="M15" s="129">
        <v>0.35</v>
      </c>
      <c r="N15" s="142">
        <f t="shared" si="2"/>
        <v>138.60000000000002</v>
      </c>
      <c r="O15" s="128">
        <f t="shared" si="3"/>
        <v>64.680000000000007</v>
      </c>
      <c r="P15" s="159">
        <f t="shared" si="4"/>
        <v>138.6</v>
      </c>
      <c r="Q15" s="160">
        <f t="shared" si="5"/>
        <v>64.7</v>
      </c>
    </row>
    <row r="16" spans="1:17" ht="91.5" thickTop="1" thickBot="1">
      <c r="A16" s="12" t="s">
        <v>21</v>
      </c>
      <c r="B16" s="166">
        <v>299.89999999999998</v>
      </c>
      <c r="C16" s="10" t="s">
        <v>22</v>
      </c>
      <c r="D16" s="10">
        <f>B16/28/20*30</f>
        <v>16.066071428571426</v>
      </c>
      <c r="E16" s="1">
        <v>0.75</v>
      </c>
      <c r="F16" s="95">
        <v>0.75</v>
      </c>
      <c r="G16" s="109">
        <f t="shared" si="0"/>
        <v>0.35</v>
      </c>
      <c r="H16" s="109">
        <v>0.35</v>
      </c>
      <c r="I16" s="109">
        <v>0.75</v>
      </c>
      <c r="J16" s="113">
        <f t="shared" si="1"/>
        <v>0.35</v>
      </c>
      <c r="K16" s="12" t="s">
        <v>8</v>
      </c>
      <c r="L16" s="12" t="s">
        <v>23</v>
      </c>
      <c r="M16" s="129">
        <v>0.35</v>
      </c>
      <c r="N16" s="142">
        <f t="shared" si="2"/>
        <v>277.10759999999999</v>
      </c>
      <c r="O16" s="128">
        <f t="shared" si="3"/>
        <v>129.31688</v>
      </c>
      <c r="P16" s="159">
        <f t="shared" si="4"/>
        <v>277.10000000000002</v>
      </c>
      <c r="Q16" s="160">
        <f t="shared" si="5"/>
        <v>129.30000000000001</v>
      </c>
    </row>
    <row r="17" spans="1:17" ht="91.5" thickTop="1" thickBot="1">
      <c r="A17" s="12" t="s">
        <v>21</v>
      </c>
      <c r="B17" s="166">
        <v>208.5</v>
      </c>
      <c r="C17" s="10" t="s">
        <v>22</v>
      </c>
      <c r="D17" s="10">
        <f>B17/14/40*30</f>
        <v>11.169642857142858</v>
      </c>
      <c r="E17" s="1">
        <v>0.75</v>
      </c>
      <c r="F17" s="95">
        <v>0.75</v>
      </c>
      <c r="G17" s="109">
        <f t="shared" si="0"/>
        <v>0.35</v>
      </c>
      <c r="H17" s="109">
        <v>0.35</v>
      </c>
      <c r="I17" s="109">
        <v>0.75</v>
      </c>
      <c r="J17" s="113">
        <f t="shared" si="1"/>
        <v>0.35</v>
      </c>
      <c r="K17" s="12" t="s">
        <v>8</v>
      </c>
      <c r="L17" s="12" t="s">
        <v>23</v>
      </c>
      <c r="M17" s="129">
        <v>0.35</v>
      </c>
      <c r="N17" s="142">
        <f t="shared" si="2"/>
        <v>192.65400000000002</v>
      </c>
      <c r="O17" s="128">
        <f t="shared" si="3"/>
        <v>89.905200000000008</v>
      </c>
      <c r="P17" s="159">
        <f t="shared" si="4"/>
        <v>192.7</v>
      </c>
      <c r="Q17" s="160">
        <f t="shared" si="5"/>
        <v>89.9</v>
      </c>
    </row>
    <row r="18" spans="1:17" ht="91.5" thickTop="1" thickBot="1">
      <c r="A18" s="12" t="s">
        <v>21</v>
      </c>
      <c r="B18" s="166">
        <v>417.1</v>
      </c>
      <c r="C18" s="10" t="s">
        <v>22</v>
      </c>
      <c r="D18" s="10">
        <f>B18/28/40*30</f>
        <v>11.172321428571429</v>
      </c>
      <c r="E18" s="1">
        <v>0.75</v>
      </c>
      <c r="F18" s="95">
        <v>0.75</v>
      </c>
      <c r="G18" s="109">
        <f t="shared" si="0"/>
        <v>0.35</v>
      </c>
      <c r="H18" s="109">
        <v>0.35</v>
      </c>
      <c r="I18" s="109">
        <v>0.75</v>
      </c>
      <c r="J18" s="113">
        <f t="shared" si="1"/>
        <v>0.35</v>
      </c>
      <c r="K18" s="12" t="s">
        <v>8</v>
      </c>
      <c r="L18" s="12" t="s">
        <v>23</v>
      </c>
      <c r="M18" s="129">
        <v>0.35</v>
      </c>
      <c r="N18" s="142">
        <f t="shared" si="2"/>
        <v>385.4004000000001</v>
      </c>
      <c r="O18" s="128">
        <f t="shared" si="3"/>
        <v>179.85352</v>
      </c>
      <c r="P18" s="159">
        <f t="shared" si="4"/>
        <v>385.4</v>
      </c>
      <c r="Q18" s="160">
        <f t="shared" si="5"/>
        <v>179.9</v>
      </c>
    </row>
    <row r="19" spans="1:17" s="80" customFormat="1" ht="24" thickTop="1" thickBot="1">
      <c r="A19" s="45" t="s">
        <v>24</v>
      </c>
      <c r="B19" s="167">
        <v>3432.9</v>
      </c>
      <c r="C19" s="19" t="s">
        <v>15</v>
      </c>
      <c r="D19" s="10" t="s">
        <v>15</v>
      </c>
      <c r="E19" s="42">
        <v>0.75</v>
      </c>
      <c r="F19" s="97">
        <v>0.75</v>
      </c>
      <c r="G19" s="109">
        <f t="shared" si="0"/>
        <v>0.35</v>
      </c>
      <c r="H19" s="109">
        <v>0.35</v>
      </c>
      <c r="I19" s="109">
        <v>0.75</v>
      </c>
      <c r="J19" s="113">
        <f t="shared" si="1"/>
        <v>0.35</v>
      </c>
      <c r="K19" s="41" t="s">
        <v>25</v>
      </c>
      <c r="L19" s="41" t="s">
        <v>26</v>
      </c>
      <c r="M19" s="130">
        <v>0.35</v>
      </c>
      <c r="N19" s="142">
        <f t="shared" si="2"/>
        <v>3171.9996000000006</v>
      </c>
      <c r="O19" s="128">
        <f t="shared" si="3"/>
        <v>1480.26648</v>
      </c>
      <c r="P19" s="159">
        <f t="shared" si="4"/>
        <v>3172</v>
      </c>
      <c r="Q19" s="160">
        <f t="shared" si="5"/>
        <v>1480.3</v>
      </c>
    </row>
    <row r="20" spans="1:17" ht="24" thickTop="1" thickBot="1">
      <c r="A20" s="12" t="s">
        <v>27</v>
      </c>
      <c r="B20" s="166">
        <v>685.7</v>
      </c>
      <c r="C20" s="10" t="s">
        <v>28</v>
      </c>
      <c r="D20" s="10">
        <f>B20/10/500*1500</f>
        <v>205.71</v>
      </c>
      <c r="E20" s="11">
        <v>0.2</v>
      </c>
      <c r="F20" s="27">
        <v>0.2</v>
      </c>
      <c r="G20" s="109">
        <f t="shared" si="0"/>
        <v>0.1</v>
      </c>
      <c r="H20" s="109">
        <v>0.1</v>
      </c>
      <c r="I20" s="109">
        <v>0.2</v>
      </c>
      <c r="J20" s="113">
        <f t="shared" si="1"/>
        <v>0.1</v>
      </c>
      <c r="K20" s="12" t="s">
        <v>29</v>
      </c>
      <c r="L20" s="12" t="s">
        <v>30</v>
      </c>
      <c r="M20" s="129">
        <v>0.1</v>
      </c>
      <c r="N20" s="142">
        <f t="shared" si="2"/>
        <v>168.95648000000006</v>
      </c>
      <c r="O20" s="128">
        <f t="shared" si="3"/>
        <v>84.478240000000028</v>
      </c>
      <c r="P20" s="159">
        <f t="shared" si="4"/>
        <v>169</v>
      </c>
      <c r="Q20" s="160">
        <f t="shared" si="5"/>
        <v>84.5</v>
      </c>
    </row>
    <row r="21" spans="1:17" ht="24" thickTop="1" thickBot="1">
      <c r="A21" s="12" t="s">
        <v>27</v>
      </c>
      <c r="B21" s="166">
        <v>1174</v>
      </c>
      <c r="C21" s="10" t="s">
        <v>28</v>
      </c>
      <c r="D21" s="10">
        <f>B21/10/1000*1500</f>
        <v>176.1</v>
      </c>
      <c r="E21" s="11">
        <v>0.2</v>
      </c>
      <c r="F21" s="27">
        <v>0.2</v>
      </c>
      <c r="G21" s="109">
        <f t="shared" si="0"/>
        <v>0.1</v>
      </c>
      <c r="H21" s="109">
        <v>0.1</v>
      </c>
      <c r="I21" s="109">
        <v>0.2</v>
      </c>
      <c r="J21" s="113">
        <f t="shared" si="1"/>
        <v>0.1</v>
      </c>
      <c r="K21" s="12" t="s">
        <v>29</v>
      </c>
      <c r="L21" s="12" t="s">
        <v>30</v>
      </c>
      <c r="M21" s="129">
        <v>0.1</v>
      </c>
      <c r="N21" s="142">
        <f t="shared" si="2"/>
        <v>289.2736000000001</v>
      </c>
      <c r="O21" s="128">
        <f t="shared" si="3"/>
        <v>144.63680000000005</v>
      </c>
      <c r="P21" s="159">
        <f t="shared" si="4"/>
        <v>289.3</v>
      </c>
      <c r="Q21" s="160">
        <f t="shared" si="5"/>
        <v>144.6</v>
      </c>
    </row>
    <row r="22" spans="1:17" s="81" customFormat="1" thickTop="1" thickBot="1">
      <c r="A22" s="12" t="s">
        <v>27</v>
      </c>
      <c r="B22" s="166">
        <v>1748.2</v>
      </c>
      <c r="C22" s="50" t="s">
        <v>28</v>
      </c>
      <c r="D22" s="10">
        <f>+B22/50/500*1500</f>
        <v>104.89200000000001</v>
      </c>
      <c r="E22" s="11">
        <v>0.2</v>
      </c>
      <c r="F22" s="27">
        <v>0.2</v>
      </c>
      <c r="G22" s="109">
        <f t="shared" si="0"/>
        <v>0.1</v>
      </c>
      <c r="H22" s="109">
        <v>0.1</v>
      </c>
      <c r="I22" s="109">
        <v>0.2</v>
      </c>
      <c r="J22" s="113">
        <f t="shared" si="1"/>
        <v>0.1</v>
      </c>
      <c r="K22" s="12" t="s">
        <v>31</v>
      </c>
      <c r="L22" s="12" t="s">
        <v>32</v>
      </c>
      <c r="M22" s="129">
        <v>0.1</v>
      </c>
      <c r="N22" s="142">
        <f t="shared" si="2"/>
        <v>430.75648000000012</v>
      </c>
      <c r="O22" s="128">
        <f t="shared" si="3"/>
        <v>215.37824000000006</v>
      </c>
      <c r="P22" s="159">
        <f t="shared" si="4"/>
        <v>430.8</v>
      </c>
      <c r="Q22" s="160">
        <f t="shared" si="5"/>
        <v>215.4</v>
      </c>
    </row>
    <row r="23" spans="1:17" s="81" customFormat="1" thickTop="1" thickBot="1">
      <c r="A23" s="12" t="s">
        <v>27</v>
      </c>
      <c r="B23" s="166">
        <v>3160.1</v>
      </c>
      <c r="C23" s="50" t="s">
        <v>28</v>
      </c>
      <c r="D23" s="10">
        <f>+B23/50/1000*1500</f>
        <v>94.802999999999997</v>
      </c>
      <c r="E23" s="11">
        <v>0.2</v>
      </c>
      <c r="F23" s="27">
        <v>0.2</v>
      </c>
      <c r="G23" s="109">
        <f t="shared" si="0"/>
        <v>0.1</v>
      </c>
      <c r="H23" s="109">
        <v>0.1</v>
      </c>
      <c r="I23" s="109">
        <v>0.2</v>
      </c>
      <c r="J23" s="113">
        <f t="shared" si="1"/>
        <v>0.1</v>
      </c>
      <c r="K23" s="12" t="s">
        <v>31</v>
      </c>
      <c r="L23" s="12" t="s">
        <v>32</v>
      </c>
      <c r="M23" s="129">
        <v>0.1</v>
      </c>
      <c r="N23" s="142">
        <f t="shared" si="2"/>
        <v>778.64864000000011</v>
      </c>
      <c r="O23" s="128">
        <f t="shared" si="3"/>
        <v>389.32432000000006</v>
      </c>
      <c r="P23" s="159">
        <f t="shared" si="4"/>
        <v>778.6</v>
      </c>
      <c r="Q23" s="160">
        <f t="shared" si="5"/>
        <v>389.3</v>
      </c>
    </row>
    <row r="24" spans="1:17" s="81" customFormat="1" thickTop="1" thickBot="1">
      <c r="A24" s="12" t="s">
        <v>27</v>
      </c>
      <c r="B24" s="166">
        <v>6320.3</v>
      </c>
      <c r="C24" s="50" t="s">
        <v>28</v>
      </c>
      <c r="D24" s="10">
        <f>+B24/100/1000*1500</f>
        <v>94.804500000000019</v>
      </c>
      <c r="E24" s="11">
        <v>0.2</v>
      </c>
      <c r="F24" s="27">
        <v>0.2</v>
      </c>
      <c r="G24" s="109">
        <f t="shared" si="0"/>
        <v>0.1</v>
      </c>
      <c r="H24" s="109">
        <v>0.1</v>
      </c>
      <c r="I24" s="109">
        <v>0.2</v>
      </c>
      <c r="J24" s="113">
        <f t="shared" si="1"/>
        <v>0.1</v>
      </c>
      <c r="K24" s="12" t="s">
        <v>31</v>
      </c>
      <c r="L24" s="12" t="s">
        <v>32</v>
      </c>
      <c r="M24" s="129">
        <v>0.1</v>
      </c>
      <c r="N24" s="142">
        <f t="shared" si="2"/>
        <v>1557.3219200000003</v>
      </c>
      <c r="O24" s="128">
        <f t="shared" si="3"/>
        <v>778.66096000000016</v>
      </c>
      <c r="P24" s="159">
        <f t="shared" si="4"/>
        <v>1557.3</v>
      </c>
      <c r="Q24" s="160">
        <f t="shared" si="5"/>
        <v>778.7</v>
      </c>
    </row>
    <row r="25" spans="1:17" ht="24" thickTop="1" thickBot="1">
      <c r="A25" s="12" t="s">
        <v>33</v>
      </c>
      <c r="B25" s="166">
        <v>1101.4000000000001</v>
      </c>
      <c r="C25" s="10" t="s">
        <v>28</v>
      </c>
      <c r="D25" s="10">
        <f>B25/50/500*1500</f>
        <v>66.084000000000003</v>
      </c>
      <c r="E25" s="11">
        <v>0.2</v>
      </c>
      <c r="F25" s="27">
        <v>0.2</v>
      </c>
      <c r="G25" s="109">
        <f t="shared" si="0"/>
        <v>0.1</v>
      </c>
      <c r="H25" s="109">
        <v>0.1</v>
      </c>
      <c r="I25" s="109">
        <v>0.2</v>
      </c>
      <c r="J25" s="113">
        <f t="shared" si="1"/>
        <v>0.1</v>
      </c>
      <c r="K25" s="12" t="s">
        <v>34</v>
      </c>
      <c r="L25" s="12" t="s">
        <v>30</v>
      </c>
      <c r="M25" s="129">
        <v>0.1</v>
      </c>
      <c r="N25" s="142">
        <f t="shared" si="2"/>
        <v>271.38496000000009</v>
      </c>
      <c r="O25" s="128">
        <f t="shared" si="3"/>
        <v>135.69248000000005</v>
      </c>
      <c r="P25" s="159">
        <f t="shared" si="4"/>
        <v>271.39999999999998</v>
      </c>
      <c r="Q25" s="160">
        <f t="shared" si="5"/>
        <v>135.69999999999999</v>
      </c>
    </row>
    <row r="26" spans="1:17" ht="24" thickTop="1" thickBot="1">
      <c r="A26" s="12" t="s">
        <v>33</v>
      </c>
      <c r="B26" s="166">
        <v>2202.8000000000002</v>
      </c>
      <c r="C26" s="10" t="s">
        <v>28</v>
      </c>
      <c r="D26" s="10">
        <f>B26/100/500*1500</f>
        <v>66.084000000000003</v>
      </c>
      <c r="E26" s="11">
        <v>0.2</v>
      </c>
      <c r="F26" s="27">
        <v>0.2</v>
      </c>
      <c r="G26" s="109">
        <f t="shared" si="0"/>
        <v>0.1</v>
      </c>
      <c r="H26" s="109">
        <v>0.1</v>
      </c>
      <c r="I26" s="109">
        <v>0.2</v>
      </c>
      <c r="J26" s="113">
        <f t="shared" si="1"/>
        <v>0.1</v>
      </c>
      <c r="K26" s="12" t="s">
        <v>34</v>
      </c>
      <c r="L26" s="12" t="s">
        <v>30</v>
      </c>
      <c r="M26" s="129">
        <v>0.1</v>
      </c>
      <c r="N26" s="142">
        <f t="shared" si="2"/>
        <v>542.76992000000018</v>
      </c>
      <c r="O26" s="128">
        <f t="shared" si="3"/>
        <v>271.38496000000009</v>
      </c>
      <c r="P26" s="159">
        <f t="shared" si="4"/>
        <v>542.79999999999995</v>
      </c>
      <c r="Q26" s="160">
        <f t="shared" si="5"/>
        <v>271.39999999999998</v>
      </c>
    </row>
    <row r="27" spans="1:17" ht="24" thickTop="1" thickBot="1">
      <c r="A27" s="12" t="s">
        <v>35</v>
      </c>
      <c r="B27" s="166">
        <v>2048.1</v>
      </c>
      <c r="C27" s="10" t="s">
        <v>28</v>
      </c>
      <c r="D27" s="10">
        <f>B27/100/400*1500</f>
        <v>76.803749999999994</v>
      </c>
      <c r="E27" s="11">
        <v>0.2</v>
      </c>
      <c r="F27" s="27">
        <v>0.2</v>
      </c>
      <c r="G27" s="109">
        <f t="shared" si="0"/>
        <v>0.1</v>
      </c>
      <c r="H27" s="109">
        <v>0.1</v>
      </c>
      <c r="I27" s="109">
        <v>0.2</v>
      </c>
      <c r="J27" s="113">
        <f t="shared" si="1"/>
        <v>0.1</v>
      </c>
      <c r="K27" s="12" t="s">
        <v>29</v>
      </c>
      <c r="L27" s="12" t="s">
        <v>30</v>
      </c>
      <c r="M27" s="129">
        <v>0.1</v>
      </c>
      <c r="N27" s="142">
        <f t="shared" si="2"/>
        <v>504.65184000000011</v>
      </c>
      <c r="O27" s="128">
        <f t="shared" si="3"/>
        <v>252.32592000000005</v>
      </c>
      <c r="P27" s="159">
        <f t="shared" si="4"/>
        <v>504.7</v>
      </c>
      <c r="Q27" s="160">
        <f t="shared" si="5"/>
        <v>252.3</v>
      </c>
    </row>
    <row r="28" spans="1:17" ht="24" thickTop="1" thickBot="1">
      <c r="A28" s="12" t="s">
        <v>36</v>
      </c>
      <c r="B28" s="166">
        <v>2878.9</v>
      </c>
      <c r="C28" s="10" t="s">
        <v>28</v>
      </c>
      <c r="D28" s="10">
        <f>B28/100/500*1500</f>
        <v>86.367000000000004</v>
      </c>
      <c r="E28" s="11">
        <v>0.2</v>
      </c>
      <c r="F28" s="27">
        <v>0.2</v>
      </c>
      <c r="G28" s="109">
        <f t="shared" si="0"/>
        <v>0.1</v>
      </c>
      <c r="H28" s="109">
        <v>0.1</v>
      </c>
      <c r="I28" s="109">
        <v>0.2</v>
      </c>
      <c r="J28" s="113">
        <f t="shared" si="1"/>
        <v>0.1</v>
      </c>
      <c r="K28" s="12" t="s">
        <v>29</v>
      </c>
      <c r="L28" s="12" t="s">
        <v>30</v>
      </c>
      <c r="M28" s="129">
        <v>0.1</v>
      </c>
      <c r="N28" s="142">
        <f t="shared" si="2"/>
        <v>709.3609600000002</v>
      </c>
      <c r="O28" s="128">
        <f t="shared" si="3"/>
        <v>354.6804800000001</v>
      </c>
      <c r="P28" s="159">
        <f t="shared" si="4"/>
        <v>709.4</v>
      </c>
      <c r="Q28" s="160">
        <f t="shared" si="5"/>
        <v>354.7</v>
      </c>
    </row>
    <row r="29" spans="1:17" ht="24" thickTop="1" thickBot="1">
      <c r="A29" s="12" t="s">
        <v>36</v>
      </c>
      <c r="B29" s="166">
        <v>3424.7</v>
      </c>
      <c r="C29" s="10" t="s">
        <v>28</v>
      </c>
      <c r="D29" s="10">
        <f>B29/28/1000*1500</f>
        <v>183.46607142857144</v>
      </c>
      <c r="E29" s="11">
        <v>0.25</v>
      </c>
      <c r="F29" s="27">
        <v>0.25</v>
      </c>
      <c r="G29" s="109">
        <f t="shared" si="0"/>
        <v>0.1</v>
      </c>
      <c r="H29" s="109">
        <v>0.1</v>
      </c>
      <c r="I29" s="109">
        <v>0.25</v>
      </c>
      <c r="J29" s="113">
        <f t="shared" si="1"/>
        <v>0.1</v>
      </c>
      <c r="K29" s="12" t="s">
        <v>29</v>
      </c>
      <c r="L29" s="12" t="s">
        <v>30</v>
      </c>
      <c r="M29" s="129">
        <v>0.1</v>
      </c>
      <c r="N29" s="142">
        <f t="shared" si="2"/>
        <v>1054.8076000000001</v>
      </c>
      <c r="O29" s="128">
        <f t="shared" si="3"/>
        <v>421.92304000000007</v>
      </c>
      <c r="P29" s="159">
        <f t="shared" si="4"/>
        <v>1054.8</v>
      </c>
      <c r="Q29" s="160">
        <f t="shared" si="5"/>
        <v>421.9</v>
      </c>
    </row>
    <row r="30" spans="1:17" thickTop="1" thickBot="1">
      <c r="A30" s="13" t="s">
        <v>36</v>
      </c>
      <c r="B30" s="167">
        <v>7395.6</v>
      </c>
      <c r="C30" s="10" t="s">
        <v>28</v>
      </c>
      <c r="D30" s="10">
        <f>B30/60/2*1.5</f>
        <v>92.445000000000007</v>
      </c>
      <c r="E30" s="11">
        <v>0.2</v>
      </c>
      <c r="F30" s="27">
        <v>0.2</v>
      </c>
      <c r="G30" s="109">
        <f t="shared" si="0"/>
        <v>0.1</v>
      </c>
      <c r="H30" s="109">
        <v>0.1</v>
      </c>
      <c r="I30" s="109">
        <v>0.2</v>
      </c>
      <c r="J30" s="113">
        <f t="shared" si="1"/>
        <v>0.1</v>
      </c>
      <c r="K30" s="12" t="s">
        <v>37</v>
      </c>
      <c r="L30" s="12" t="s">
        <v>32</v>
      </c>
      <c r="M30" s="129">
        <v>0.1</v>
      </c>
      <c r="N30" s="142">
        <f t="shared" si="2"/>
        <v>1822.2758400000005</v>
      </c>
      <c r="O30" s="128">
        <f t="shared" si="3"/>
        <v>911.13792000000024</v>
      </c>
      <c r="P30" s="159">
        <f t="shared" si="4"/>
        <v>1822.3</v>
      </c>
      <c r="Q30" s="160">
        <f t="shared" si="5"/>
        <v>911.1</v>
      </c>
    </row>
    <row r="31" spans="1:17" thickTop="1" thickBot="1">
      <c r="A31" s="13" t="s">
        <v>36</v>
      </c>
      <c r="B31" s="167">
        <v>7231.6</v>
      </c>
      <c r="C31" s="10" t="s">
        <v>28</v>
      </c>
      <c r="D31" s="10">
        <f>B31/30/4*1.5</f>
        <v>90.39500000000001</v>
      </c>
      <c r="E31" s="11">
        <v>0.2</v>
      </c>
      <c r="F31" s="27">
        <v>0.2</v>
      </c>
      <c r="G31" s="109">
        <f t="shared" si="0"/>
        <v>0.1</v>
      </c>
      <c r="H31" s="109">
        <v>0.1</v>
      </c>
      <c r="I31" s="109">
        <v>0.2</v>
      </c>
      <c r="J31" s="113">
        <f t="shared" si="1"/>
        <v>0.1</v>
      </c>
      <c r="K31" s="12" t="s">
        <v>37</v>
      </c>
      <c r="L31" s="12" t="s">
        <v>32</v>
      </c>
      <c r="M31" s="129">
        <v>0.1</v>
      </c>
      <c r="N31" s="142">
        <f t="shared" si="2"/>
        <v>1781.8662400000005</v>
      </c>
      <c r="O31" s="128">
        <f t="shared" si="3"/>
        <v>890.93312000000026</v>
      </c>
      <c r="P31" s="159">
        <f t="shared" si="4"/>
        <v>1781.9</v>
      </c>
      <c r="Q31" s="160">
        <f t="shared" si="5"/>
        <v>890.9</v>
      </c>
    </row>
    <row r="32" spans="1:17" thickTop="1" thickBot="1">
      <c r="A32" s="12" t="s">
        <v>38</v>
      </c>
      <c r="B32" s="167">
        <v>189.6</v>
      </c>
      <c r="C32" s="10" t="s">
        <v>39</v>
      </c>
      <c r="D32" s="10">
        <f>B32/60/500*2000</f>
        <v>12.639999999999999</v>
      </c>
      <c r="E32" s="1">
        <v>0.25</v>
      </c>
      <c r="F32" s="95">
        <v>0.25</v>
      </c>
      <c r="G32" s="109">
        <f t="shared" si="0"/>
        <v>0.1</v>
      </c>
      <c r="H32" s="109">
        <v>0.1</v>
      </c>
      <c r="I32" s="109">
        <v>0.25</v>
      </c>
      <c r="J32" s="113">
        <f t="shared" si="1"/>
        <v>0.1</v>
      </c>
      <c r="K32" s="12"/>
      <c r="L32" s="12"/>
      <c r="M32" s="129">
        <v>0.1</v>
      </c>
      <c r="N32" s="142">
        <f t="shared" si="2"/>
        <v>58.396800000000006</v>
      </c>
      <c r="O32" s="128">
        <f t="shared" si="3"/>
        <v>23.358720000000005</v>
      </c>
      <c r="P32" s="159">
        <f t="shared" si="4"/>
        <v>58.4</v>
      </c>
      <c r="Q32" s="160">
        <f t="shared" si="5"/>
        <v>23.4</v>
      </c>
    </row>
    <row r="33" spans="1:17" thickTop="1" thickBot="1">
      <c r="A33" s="12" t="s">
        <v>38</v>
      </c>
      <c r="B33" s="167">
        <v>94.8</v>
      </c>
      <c r="C33" s="10" t="s">
        <v>40</v>
      </c>
      <c r="D33" s="10">
        <f>B33/30/500*2000</f>
        <v>12.639999999999999</v>
      </c>
      <c r="E33" s="1">
        <v>0.25</v>
      </c>
      <c r="F33" s="95">
        <v>0.25</v>
      </c>
      <c r="G33" s="109">
        <f t="shared" si="0"/>
        <v>0.1</v>
      </c>
      <c r="H33" s="109">
        <v>0.1</v>
      </c>
      <c r="I33" s="109">
        <v>0.25</v>
      </c>
      <c r="J33" s="113">
        <f t="shared" si="1"/>
        <v>0.1</v>
      </c>
      <c r="K33" s="12"/>
      <c r="L33" s="12"/>
      <c r="M33" s="129">
        <v>0.1</v>
      </c>
      <c r="N33" s="142">
        <f t="shared" si="2"/>
        <v>29.198400000000003</v>
      </c>
      <c r="O33" s="128">
        <f t="shared" si="3"/>
        <v>11.679360000000003</v>
      </c>
      <c r="P33" s="159">
        <f t="shared" si="4"/>
        <v>29.2</v>
      </c>
      <c r="Q33" s="160">
        <f t="shared" si="5"/>
        <v>11.7</v>
      </c>
    </row>
    <row r="34" spans="1:17" thickTop="1" thickBot="1">
      <c r="A34" s="12" t="s">
        <v>41</v>
      </c>
      <c r="B34" s="167">
        <v>247.6</v>
      </c>
      <c r="C34" s="10" t="s">
        <v>40</v>
      </c>
      <c r="D34" s="10">
        <f>+B34/30/750*2000</f>
        <v>22.00888888888889</v>
      </c>
      <c r="E34" s="1">
        <v>0.7</v>
      </c>
      <c r="F34" s="95">
        <v>0.7</v>
      </c>
      <c r="G34" s="109">
        <f t="shared" si="0"/>
        <v>0.29999999999999993</v>
      </c>
      <c r="H34" s="109">
        <v>0.29999999999999993</v>
      </c>
      <c r="I34" s="109">
        <v>0.7</v>
      </c>
      <c r="J34" s="113">
        <f t="shared" si="1"/>
        <v>0.29999999999999993</v>
      </c>
      <c r="K34" s="12"/>
      <c r="L34" s="12"/>
      <c r="M34" s="129">
        <v>0.29999999999999993</v>
      </c>
      <c r="N34" s="142">
        <f t="shared" si="2"/>
        <v>213.53024000000002</v>
      </c>
      <c r="O34" s="128">
        <f t="shared" si="3"/>
        <v>91.512959999999993</v>
      </c>
      <c r="P34" s="159">
        <f t="shared" si="4"/>
        <v>213.5</v>
      </c>
      <c r="Q34" s="160">
        <f t="shared" si="5"/>
        <v>91.5</v>
      </c>
    </row>
    <row r="35" spans="1:17" thickTop="1" thickBot="1">
      <c r="A35" s="12" t="s">
        <v>41</v>
      </c>
      <c r="B35" s="167">
        <v>328</v>
      </c>
      <c r="C35" s="10" t="s">
        <v>39</v>
      </c>
      <c r="D35" s="10">
        <f>B35/30/1000*2000</f>
        <v>21.866666666666667</v>
      </c>
      <c r="E35" s="1">
        <v>0.7</v>
      </c>
      <c r="F35" s="95">
        <v>0.7</v>
      </c>
      <c r="G35" s="109">
        <f t="shared" si="0"/>
        <v>0.29999999999999993</v>
      </c>
      <c r="H35" s="109">
        <v>0.29999999999999993</v>
      </c>
      <c r="I35" s="109">
        <v>0.7</v>
      </c>
      <c r="J35" s="113">
        <f t="shared" si="1"/>
        <v>0.29999999999999993</v>
      </c>
      <c r="K35" s="12"/>
      <c r="L35" s="12"/>
      <c r="M35" s="129">
        <v>0.29999999999999993</v>
      </c>
      <c r="N35" s="142">
        <f t="shared" si="2"/>
        <v>282.86720000000008</v>
      </c>
      <c r="O35" s="128">
        <f t="shared" si="3"/>
        <v>121.22879999999999</v>
      </c>
      <c r="P35" s="159">
        <f t="shared" si="4"/>
        <v>282.89999999999998</v>
      </c>
      <c r="Q35" s="160">
        <f t="shared" si="5"/>
        <v>121.2</v>
      </c>
    </row>
    <row r="36" spans="1:17" thickTop="1" thickBot="1">
      <c r="A36" s="12" t="s">
        <v>711</v>
      </c>
      <c r="B36" s="167">
        <v>114.8</v>
      </c>
      <c r="C36" s="10" t="s">
        <v>39</v>
      </c>
      <c r="D36" s="10">
        <f>(B36/30)/500*2000</f>
        <v>15.306666666666667</v>
      </c>
      <c r="E36" s="1">
        <v>0.6</v>
      </c>
      <c r="F36" s="95">
        <v>0.6</v>
      </c>
      <c r="G36" s="109">
        <f t="shared" si="0"/>
        <v>0.19999999999999996</v>
      </c>
      <c r="H36" s="109">
        <v>0.19999999999999996</v>
      </c>
      <c r="I36" s="109">
        <v>0.6</v>
      </c>
      <c r="J36" s="113">
        <f t="shared" si="1"/>
        <v>0.19999999999999996</v>
      </c>
      <c r="K36" s="12"/>
      <c r="L36" s="12"/>
      <c r="M36" s="129">
        <v>0.19999999999999996</v>
      </c>
      <c r="N36" s="142">
        <f t="shared" si="2"/>
        <v>84.860160000000008</v>
      </c>
      <c r="O36" s="128">
        <f t="shared" si="3"/>
        <v>28.286719999999999</v>
      </c>
      <c r="P36" s="159">
        <f t="shared" si="4"/>
        <v>84.9</v>
      </c>
      <c r="Q36" s="160">
        <f t="shared" si="5"/>
        <v>28.3</v>
      </c>
    </row>
    <row r="37" spans="1:17" thickTop="1" thickBot="1">
      <c r="A37" s="12" t="s">
        <v>711</v>
      </c>
      <c r="B37" s="167">
        <v>173.2</v>
      </c>
      <c r="C37" s="10" t="s">
        <v>39</v>
      </c>
      <c r="D37" s="10">
        <f>(B37/30)/750*2000</f>
        <v>15.395555555555553</v>
      </c>
      <c r="E37" s="1">
        <v>0.6</v>
      </c>
      <c r="F37" s="95">
        <v>0.6</v>
      </c>
      <c r="G37" s="109">
        <f t="shared" si="0"/>
        <v>0.19999999999999996</v>
      </c>
      <c r="H37" s="109">
        <v>0.19999999999999996</v>
      </c>
      <c r="I37" s="109">
        <v>0.6</v>
      </c>
      <c r="J37" s="113">
        <f t="shared" si="1"/>
        <v>0.19999999999999996</v>
      </c>
      <c r="K37" s="12"/>
      <c r="L37" s="12"/>
      <c r="M37" s="129">
        <v>0.19999999999999996</v>
      </c>
      <c r="N37" s="142">
        <f t="shared" si="2"/>
        <v>128.02944000000002</v>
      </c>
      <c r="O37" s="128">
        <f t="shared" si="3"/>
        <v>42.676479999999998</v>
      </c>
      <c r="P37" s="159">
        <f t="shared" si="4"/>
        <v>128</v>
      </c>
      <c r="Q37" s="160">
        <f t="shared" si="5"/>
        <v>42.7</v>
      </c>
    </row>
    <row r="38" spans="1:17" thickTop="1" thickBot="1">
      <c r="A38" s="12" t="s">
        <v>711</v>
      </c>
      <c r="B38" s="167">
        <v>229.6</v>
      </c>
      <c r="C38" s="10" t="s">
        <v>39</v>
      </c>
      <c r="D38" s="10">
        <f>(B38/30)/1000*2000</f>
        <v>15.306666666666667</v>
      </c>
      <c r="E38" s="1">
        <v>0.6</v>
      </c>
      <c r="F38" s="95">
        <v>0.6</v>
      </c>
      <c r="G38" s="109">
        <f t="shared" si="0"/>
        <v>0.19999999999999996</v>
      </c>
      <c r="H38" s="109">
        <v>0.19999999999999996</v>
      </c>
      <c r="I38" s="109">
        <v>0.6</v>
      </c>
      <c r="J38" s="113">
        <f t="shared" si="1"/>
        <v>0.19999999999999996</v>
      </c>
      <c r="K38" s="12"/>
      <c r="L38" s="12"/>
      <c r="M38" s="129">
        <v>0.19999999999999996</v>
      </c>
      <c r="N38" s="142">
        <f t="shared" si="2"/>
        <v>169.72032000000002</v>
      </c>
      <c r="O38" s="128">
        <f t="shared" si="3"/>
        <v>56.573439999999998</v>
      </c>
      <c r="P38" s="159">
        <f t="shared" si="4"/>
        <v>169.7</v>
      </c>
      <c r="Q38" s="160">
        <f t="shared" si="5"/>
        <v>56.6</v>
      </c>
    </row>
    <row r="39" spans="1:17" thickTop="1" thickBot="1">
      <c r="A39" s="12" t="s">
        <v>712</v>
      </c>
      <c r="B39" s="167">
        <v>173.2</v>
      </c>
      <c r="C39" s="10" t="s">
        <v>713</v>
      </c>
      <c r="D39" s="10">
        <f>(B39/30)/750*2000</f>
        <v>15.395555555555553</v>
      </c>
      <c r="E39" s="1">
        <v>0.6</v>
      </c>
      <c r="F39" s="95">
        <v>0.6</v>
      </c>
      <c r="G39" s="109">
        <f t="shared" si="0"/>
        <v>0.19999999999999996</v>
      </c>
      <c r="H39" s="109">
        <v>0.19999999999999996</v>
      </c>
      <c r="I39" s="109">
        <v>0.6</v>
      </c>
      <c r="J39" s="113">
        <f t="shared" si="1"/>
        <v>0.19999999999999996</v>
      </c>
      <c r="K39" s="12"/>
      <c r="L39" s="12"/>
      <c r="M39" s="129">
        <v>0.19999999999999996</v>
      </c>
      <c r="N39" s="142">
        <f t="shared" si="2"/>
        <v>128.02944000000002</v>
      </c>
      <c r="O39" s="128">
        <f t="shared" si="3"/>
        <v>42.676479999999998</v>
      </c>
      <c r="P39" s="159">
        <f t="shared" si="4"/>
        <v>128</v>
      </c>
      <c r="Q39" s="160">
        <f t="shared" si="5"/>
        <v>42.7</v>
      </c>
    </row>
    <row r="40" spans="1:17" thickTop="1" thickBot="1">
      <c r="A40" s="12" t="s">
        <v>712</v>
      </c>
      <c r="B40" s="167">
        <v>229.6</v>
      </c>
      <c r="C40" s="10" t="s">
        <v>713</v>
      </c>
      <c r="D40" s="10">
        <f>(B40/30)/1000*2000</f>
        <v>15.306666666666667</v>
      </c>
      <c r="E40" s="1">
        <v>0.6</v>
      </c>
      <c r="F40" s="95">
        <v>0.6</v>
      </c>
      <c r="G40" s="109">
        <f t="shared" si="0"/>
        <v>0.19999999999999996</v>
      </c>
      <c r="H40" s="109">
        <v>0.19999999999999996</v>
      </c>
      <c r="I40" s="109">
        <v>0.6</v>
      </c>
      <c r="J40" s="113">
        <f t="shared" si="1"/>
        <v>0.19999999999999996</v>
      </c>
      <c r="K40" s="12"/>
      <c r="L40" s="12"/>
      <c r="M40" s="129">
        <v>0.19999999999999996</v>
      </c>
      <c r="N40" s="142">
        <f t="shared" si="2"/>
        <v>169.72032000000002</v>
      </c>
      <c r="O40" s="128">
        <f t="shared" si="3"/>
        <v>56.573439999999998</v>
      </c>
      <c r="P40" s="159">
        <f t="shared" si="4"/>
        <v>169.7</v>
      </c>
      <c r="Q40" s="160">
        <f t="shared" si="5"/>
        <v>56.6</v>
      </c>
    </row>
    <row r="41" spans="1:17" thickTop="1" thickBot="1">
      <c r="A41" s="12" t="s">
        <v>42</v>
      </c>
      <c r="B41" s="166">
        <v>330.4</v>
      </c>
      <c r="C41" s="10" t="s">
        <v>43</v>
      </c>
      <c r="D41" s="10">
        <f>B41/30/60*60</f>
        <v>11.013333333333332</v>
      </c>
      <c r="E41" s="11">
        <v>0.65</v>
      </c>
      <c r="F41" s="27">
        <v>0.65</v>
      </c>
      <c r="G41" s="109">
        <f t="shared" si="0"/>
        <v>0.25</v>
      </c>
      <c r="H41" s="109">
        <v>0.25</v>
      </c>
      <c r="I41" s="109">
        <v>0.65</v>
      </c>
      <c r="J41" s="113">
        <f t="shared" si="1"/>
        <v>0.25</v>
      </c>
      <c r="K41" s="12"/>
      <c r="L41" s="12"/>
      <c r="M41" s="129">
        <v>0.25</v>
      </c>
      <c r="N41" s="142">
        <f t="shared" si="2"/>
        <v>264.58432000000005</v>
      </c>
      <c r="O41" s="128">
        <f t="shared" si="3"/>
        <v>101.76320000000001</v>
      </c>
      <c r="P41" s="159">
        <f t="shared" si="4"/>
        <v>264.60000000000002</v>
      </c>
      <c r="Q41" s="160">
        <f t="shared" si="5"/>
        <v>101.8</v>
      </c>
    </row>
    <row r="42" spans="1:17" thickTop="1" thickBot="1">
      <c r="A42" s="12" t="s">
        <v>44</v>
      </c>
      <c r="B42" s="166">
        <v>254.2</v>
      </c>
      <c r="C42" s="10" t="s">
        <v>43</v>
      </c>
      <c r="D42" s="10">
        <f>B42/30/60*60</f>
        <v>8.4733333333333327</v>
      </c>
      <c r="E42" s="11">
        <v>0.5</v>
      </c>
      <c r="F42" s="27">
        <v>0.5</v>
      </c>
      <c r="G42" s="109">
        <f t="shared" si="0"/>
        <v>9.9999999999999978E-2</v>
      </c>
      <c r="H42" s="109">
        <v>9.9999999999999978E-2</v>
      </c>
      <c r="I42" s="109">
        <v>0.5</v>
      </c>
      <c r="J42" s="113">
        <f t="shared" si="1"/>
        <v>9.9999999999999978E-2</v>
      </c>
      <c r="K42" s="12"/>
      <c r="L42" s="12"/>
      <c r="M42" s="129">
        <v>9.9999999999999978E-2</v>
      </c>
      <c r="N42" s="142">
        <f t="shared" si="2"/>
        <v>156.58720000000002</v>
      </c>
      <c r="O42" s="128">
        <f t="shared" si="3"/>
        <v>31.317440000000001</v>
      </c>
      <c r="P42" s="159">
        <f t="shared" si="4"/>
        <v>156.6</v>
      </c>
      <c r="Q42" s="160">
        <f t="shared" si="5"/>
        <v>31.3</v>
      </c>
    </row>
    <row r="43" spans="1:17" thickTop="1" thickBot="1">
      <c r="A43" s="12" t="s">
        <v>44</v>
      </c>
      <c r="B43" s="166">
        <v>330.8</v>
      </c>
      <c r="C43" s="9" t="s">
        <v>43</v>
      </c>
      <c r="D43" s="10">
        <f>+(B43/30)/90*60</f>
        <v>7.3511111111111118</v>
      </c>
      <c r="E43" s="11">
        <v>0.6</v>
      </c>
      <c r="F43" s="27">
        <v>0.6</v>
      </c>
      <c r="G43" s="109">
        <f t="shared" si="0"/>
        <v>0.19999999999999996</v>
      </c>
      <c r="H43" s="109">
        <v>0.19999999999999996</v>
      </c>
      <c r="I43" s="109">
        <v>0.6</v>
      </c>
      <c r="J43" s="113">
        <f t="shared" si="1"/>
        <v>0.19999999999999996</v>
      </c>
      <c r="K43" s="12"/>
      <c r="L43" s="12"/>
      <c r="M43" s="129">
        <v>0.19999999999999996</v>
      </c>
      <c r="N43" s="142">
        <f t="shared" si="2"/>
        <v>244.52736000000004</v>
      </c>
      <c r="O43" s="128">
        <f t="shared" si="3"/>
        <v>81.509119999999982</v>
      </c>
      <c r="P43" s="159">
        <f t="shared" si="4"/>
        <v>244.5</v>
      </c>
      <c r="Q43" s="160">
        <f t="shared" si="5"/>
        <v>81.5</v>
      </c>
    </row>
    <row r="44" spans="1:17" thickTop="1" thickBot="1">
      <c r="A44" s="12" t="s">
        <v>45</v>
      </c>
      <c r="B44" s="166">
        <v>254.2</v>
      </c>
      <c r="C44" s="27" t="s">
        <v>43</v>
      </c>
      <c r="D44" s="10">
        <f>B44/30/60*60</f>
        <v>8.4733333333333327</v>
      </c>
      <c r="E44" s="11">
        <v>0.5</v>
      </c>
      <c r="F44" s="27">
        <v>0.5</v>
      </c>
      <c r="G44" s="109">
        <f t="shared" si="0"/>
        <v>9.9999999999999978E-2</v>
      </c>
      <c r="H44" s="109">
        <v>9.9999999999999978E-2</v>
      </c>
      <c r="I44" s="109">
        <v>0.5</v>
      </c>
      <c r="J44" s="113">
        <f t="shared" si="1"/>
        <v>9.9999999999999978E-2</v>
      </c>
      <c r="K44" s="12"/>
      <c r="L44" s="12"/>
      <c r="M44" s="129">
        <v>9.9999999999999978E-2</v>
      </c>
      <c r="N44" s="142">
        <f t="shared" si="2"/>
        <v>156.58720000000002</v>
      </c>
      <c r="O44" s="128">
        <f t="shared" si="3"/>
        <v>31.317440000000001</v>
      </c>
      <c r="P44" s="159">
        <f t="shared" si="4"/>
        <v>156.6</v>
      </c>
      <c r="Q44" s="160">
        <f t="shared" si="5"/>
        <v>31.3</v>
      </c>
    </row>
    <row r="45" spans="1:17" ht="35.25" thickTop="1" thickBot="1">
      <c r="A45" s="46" t="s">
        <v>46</v>
      </c>
      <c r="B45" s="166">
        <v>397.3</v>
      </c>
      <c r="C45" s="47" t="s">
        <v>22</v>
      </c>
      <c r="D45" s="35">
        <f>B45/30/15*30</f>
        <v>26.486666666666668</v>
      </c>
      <c r="E45" s="11">
        <v>0.5</v>
      </c>
      <c r="F45" s="27">
        <v>0.5</v>
      </c>
      <c r="G45" s="109">
        <f t="shared" si="0"/>
        <v>9.9999999999999978E-2</v>
      </c>
      <c r="H45" s="109">
        <v>9.9999999999999978E-2</v>
      </c>
      <c r="I45" s="109">
        <v>0.5</v>
      </c>
      <c r="J45" s="113">
        <f t="shared" si="1"/>
        <v>9.9999999999999978E-2</v>
      </c>
      <c r="K45" s="12" t="s">
        <v>47</v>
      </c>
      <c r="L45" s="12" t="s">
        <v>706</v>
      </c>
      <c r="M45" s="129">
        <v>9.9999999999999978E-2</v>
      </c>
      <c r="N45" s="142">
        <f t="shared" si="2"/>
        <v>244.73680000000004</v>
      </c>
      <c r="O45" s="128">
        <f t="shared" si="3"/>
        <v>48.947359999999996</v>
      </c>
      <c r="P45" s="159">
        <f t="shared" si="4"/>
        <v>244.7</v>
      </c>
      <c r="Q45" s="160">
        <f t="shared" si="5"/>
        <v>48.9</v>
      </c>
    </row>
    <row r="46" spans="1:17" ht="192.75" thickTop="1" thickBot="1">
      <c r="A46" s="46" t="s">
        <v>46</v>
      </c>
      <c r="B46" s="166">
        <v>397.3</v>
      </c>
      <c r="C46" s="47" t="s">
        <v>22</v>
      </c>
      <c r="D46" s="35">
        <f>B46/30/15*30</f>
        <v>26.486666666666668</v>
      </c>
      <c r="E46" s="11">
        <v>0.7</v>
      </c>
      <c r="F46" s="27">
        <v>0.7</v>
      </c>
      <c r="G46" s="109">
        <f t="shared" si="0"/>
        <v>0.29999999999999993</v>
      </c>
      <c r="H46" s="109">
        <v>0.29999999999999993</v>
      </c>
      <c r="I46" s="109">
        <v>0.7</v>
      </c>
      <c r="J46" s="113">
        <f t="shared" si="1"/>
        <v>0.29999999999999993</v>
      </c>
      <c r="K46" s="12" t="s">
        <v>48</v>
      </c>
      <c r="L46" s="12" t="s">
        <v>49</v>
      </c>
      <c r="M46" s="129">
        <v>0.29999999999999993</v>
      </c>
      <c r="N46" s="142">
        <f t="shared" si="2"/>
        <v>342.63152000000008</v>
      </c>
      <c r="O46" s="128">
        <f t="shared" si="3"/>
        <v>146.84208000000001</v>
      </c>
      <c r="P46" s="159">
        <f t="shared" si="4"/>
        <v>342.6</v>
      </c>
      <c r="Q46" s="160">
        <f t="shared" si="5"/>
        <v>146.80000000000001</v>
      </c>
    </row>
    <row r="47" spans="1:17" ht="35.25" thickTop="1" thickBot="1">
      <c r="A47" s="46" t="s">
        <v>46</v>
      </c>
      <c r="B47" s="166">
        <v>794.7</v>
      </c>
      <c r="C47" s="47" t="s">
        <v>22</v>
      </c>
      <c r="D47" s="35">
        <f>B47/30/30*30</f>
        <v>26.490000000000002</v>
      </c>
      <c r="E47" s="11">
        <v>0.5</v>
      </c>
      <c r="F47" s="27">
        <v>0.5</v>
      </c>
      <c r="G47" s="109">
        <f t="shared" si="0"/>
        <v>9.9999999999999978E-2</v>
      </c>
      <c r="H47" s="109">
        <v>9.9999999999999978E-2</v>
      </c>
      <c r="I47" s="109">
        <v>0.5</v>
      </c>
      <c r="J47" s="113">
        <f t="shared" si="1"/>
        <v>9.9999999999999978E-2</v>
      </c>
      <c r="K47" s="12" t="s">
        <v>47</v>
      </c>
      <c r="L47" s="12" t="s">
        <v>706</v>
      </c>
      <c r="M47" s="129">
        <v>9.9999999999999978E-2</v>
      </c>
      <c r="N47" s="142">
        <f t="shared" si="2"/>
        <v>489.53520000000015</v>
      </c>
      <c r="O47" s="128">
        <f t="shared" si="3"/>
        <v>97.907039999999995</v>
      </c>
      <c r="P47" s="159">
        <f t="shared" si="4"/>
        <v>489.5</v>
      </c>
      <c r="Q47" s="160">
        <f t="shared" si="5"/>
        <v>97.9</v>
      </c>
    </row>
    <row r="48" spans="1:17" ht="192.75" thickTop="1" thickBot="1">
      <c r="A48" s="46" t="s">
        <v>46</v>
      </c>
      <c r="B48" s="166">
        <v>794.7</v>
      </c>
      <c r="C48" s="47" t="s">
        <v>22</v>
      </c>
      <c r="D48" s="35">
        <f>B48/30/30*30</f>
        <v>26.490000000000002</v>
      </c>
      <c r="E48" s="11">
        <v>0.7</v>
      </c>
      <c r="F48" s="27">
        <v>0.7</v>
      </c>
      <c r="G48" s="109">
        <f t="shared" si="0"/>
        <v>0.29999999999999993</v>
      </c>
      <c r="H48" s="109">
        <v>0.29999999999999993</v>
      </c>
      <c r="I48" s="109">
        <v>0.7</v>
      </c>
      <c r="J48" s="113">
        <f t="shared" si="1"/>
        <v>0.29999999999999993</v>
      </c>
      <c r="K48" s="12" t="s">
        <v>48</v>
      </c>
      <c r="L48" s="12" t="s">
        <v>49</v>
      </c>
      <c r="M48" s="129">
        <v>0.29999999999999993</v>
      </c>
      <c r="N48" s="142">
        <f t="shared" si="2"/>
        <v>685.34928000000002</v>
      </c>
      <c r="O48" s="128">
        <f t="shared" si="3"/>
        <v>293.72112000000004</v>
      </c>
      <c r="P48" s="159">
        <f t="shared" si="4"/>
        <v>685.3</v>
      </c>
      <c r="Q48" s="160">
        <f t="shared" si="5"/>
        <v>293.7</v>
      </c>
    </row>
    <row r="49" spans="1:17" ht="147.75" thickTop="1" thickBot="1">
      <c r="A49" s="15" t="s">
        <v>50</v>
      </c>
      <c r="B49" s="167">
        <v>727.6</v>
      </c>
      <c r="C49" s="70" t="s">
        <v>51</v>
      </c>
      <c r="D49" s="10">
        <f>B49/28/50*100</f>
        <v>51.971428571428582</v>
      </c>
      <c r="E49" s="11">
        <v>0.8</v>
      </c>
      <c r="F49" s="27">
        <v>0.8</v>
      </c>
      <c r="G49" s="109">
        <f t="shared" si="0"/>
        <v>0.4</v>
      </c>
      <c r="H49" s="109">
        <v>0.4</v>
      </c>
      <c r="I49" s="109">
        <v>0.8</v>
      </c>
      <c r="J49" s="113">
        <f t="shared" si="1"/>
        <v>0.4</v>
      </c>
      <c r="K49" s="15" t="s">
        <v>704</v>
      </c>
      <c r="L49" s="12" t="s">
        <v>52</v>
      </c>
      <c r="M49" s="129">
        <v>0.4</v>
      </c>
      <c r="N49" s="142">
        <f t="shared" si="2"/>
        <v>717.12256000000025</v>
      </c>
      <c r="O49" s="128">
        <f t="shared" si="3"/>
        <v>358.56128000000012</v>
      </c>
      <c r="P49" s="159">
        <f t="shared" si="4"/>
        <v>717.1</v>
      </c>
      <c r="Q49" s="160">
        <f t="shared" si="5"/>
        <v>358.6</v>
      </c>
    </row>
    <row r="50" spans="1:17" ht="147.75" thickTop="1" thickBot="1">
      <c r="A50" s="15" t="s">
        <v>50</v>
      </c>
      <c r="B50" s="167">
        <v>974.4</v>
      </c>
      <c r="C50" s="70" t="s">
        <v>51</v>
      </c>
      <c r="D50" s="10">
        <f>B50/28/100*100</f>
        <v>34.799999999999997</v>
      </c>
      <c r="E50" s="11">
        <v>0.8</v>
      </c>
      <c r="F50" s="27">
        <v>0.8</v>
      </c>
      <c r="G50" s="109">
        <f t="shared" si="0"/>
        <v>0.4</v>
      </c>
      <c r="H50" s="109">
        <v>0.4</v>
      </c>
      <c r="I50" s="109">
        <v>0.8</v>
      </c>
      <c r="J50" s="113">
        <f t="shared" si="1"/>
        <v>0.4</v>
      </c>
      <c r="K50" s="15" t="s">
        <v>704</v>
      </c>
      <c r="L50" s="12" t="s">
        <v>52</v>
      </c>
      <c r="M50" s="129">
        <v>0.4</v>
      </c>
      <c r="N50" s="142">
        <f t="shared" si="2"/>
        <v>960.36864000000014</v>
      </c>
      <c r="O50" s="128">
        <f t="shared" si="3"/>
        <v>480.18432000000007</v>
      </c>
      <c r="P50" s="159">
        <f t="shared" si="4"/>
        <v>960.4</v>
      </c>
      <c r="Q50" s="160">
        <f t="shared" si="5"/>
        <v>480.2</v>
      </c>
    </row>
    <row r="51" spans="1:17" ht="147.75" thickTop="1" thickBot="1">
      <c r="A51" s="12" t="s">
        <v>53</v>
      </c>
      <c r="B51" s="167">
        <v>582.20000000000005</v>
      </c>
      <c r="C51" s="10" t="s">
        <v>51</v>
      </c>
      <c r="D51" s="10">
        <f>+(B51/30)/25*100</f>
        <v>77.626666666666679</v>
      </c>
      <c r="E51" s="11">
        <v>0.8</v>
      </c>
      <c r="F51" s="27">
        <v>0.8</v>
      </c>
      <c r="G51" s="109">
        <f t="shared" si="0"/>
        <v>0.4</v>
      </c>
      <c r="H51" s="109">
        <v>0.4</v>
      </c>
      <c r="I51" s="109">
        <v>0.8</v>
      </c>
      <c r="J51" s="113">
        <f t="shared" si="1"/>
        <v>0.4</v>
      </c>
      <c r="K51" s="15" t="s">
        <v>704</v>
      </c>
      <c r="L51" s="12" t="s">
        <v>52</v>
      </c>
      <c r="M51" s="129">
        <v>0.4</v>
      </c>
      <c r="N51" s="142">
        <f t="shared" si="2"/>
        <v>573.81632000000025</v>
      </c>
      <c r="O51" s="128">
        <f t="shared" si="3"/>
        <v>286.90816000000012</v>
      </c>
      <c r="P51" s="159">
        <f t="shared" si="4"/>
        <v>573.79999999999995</v>
      </c>
      <c r="Q51" s="160">
        <f t="shared" si="5"/>
        <v>286.89999999999998</v>
      </c>
    </row>
    <row r="52" spans="1:17" ht="147.75" thickTop="1" thickBot="1">
      <c r="A52" s="12" t="s">
        <v>53</v>
      </c>
      <c r="B52" s="167">
        <v>779.6</v>
      </c>
      <c r="C52" s="10" t="s">
        <v>51</v>
      </c>
      <c r="D52" s="10">
        <f>+(B52/30)/50*100</f>
        <v>51.973333333333336</v>
      </c>
      <c r="E52" s="11">
        <v>0.8</v>
      </c>
      <c r="F52" s="27">
        <v>0.8</v>
      </c>
      <c r="G52" s="109">
        <f t="shared" si="0"/>
        <v>0.4</v>
      </c>
      <c r="H52" s="109">
        <v>0.4</v>
      </c>
      <c r="I52" s="109">
        <v>0.8</v>
      </c>
      <c r="J52" s="113">
        <f t="shared" si="1"/>
        <v>0.4</v>
      </c>
      <c r="K52" s="15" t="s">
        <v>704</v>
      </c>
      <c r="L52" s="12" t="s">
        <v>52</v>
      </c>
      <c r="M52" s="129">
        <v>0.4</v>
      </c>
      <c r="N52" s="142">
        <f t="shared" si="2"/>
        <v>768.37376000000017</v>
      </c>
      <c r="O52" s="128">
        <f t="shared" si="3"/>
        <v>384.18688000000009</v>
      </c>
      <c r="P52" s="159">
        <f t="shared" si="4"/>
        <v>768.4</v>
      </c>
      <c r="Q52" s="160">
        <f t="shared" si="5"/>
        <v>384.2</v>
      </c>
    </row>
    <row r="53" spans="1:17" ht="147.75" thickTop="1" thickBot="1">
      <c r="A53" s="12" t="s">
        <v>53</v>
      </c>
      <c r="B53" s="167">
        <v>1044</v>
      </c>
      <c r="C53" s="10" t="s">
        <v>51</v>
      </c>
      <c r="D53" s="10">
        <f>+(B53/30)/100*100</f>
        <v>34.799999999999997</v>
      </c>
      <c r="E53" s="11">
        <v>0.8</v>
      </c>
      <c r="F53" s="27">
        <v>0.8</v>
      </c>
      <c r="G53" s="109">
        <f t="shared" si="0"/>
        <v>0.4</v>
      </c>
      <c r="H53" s="109">
        <v>0.4</v>
      </c>
      <c r="I53" s="109">
        <v>0.8</v>
      </c>
      <c r="J53" s="113">
        <f t="shared" si="1"/>
        <v>0.4</v>
      </c>
      <c r="K53" s="15" t="s">
        <v>704</v>
      </c>
      <c r="L53" s="12" t="s">
        <v>52</v>
      </c>
      <c r="M53" s="129">
        <v>0.4</v>
      </c>
      <c r="N53" s="142">
        <f t="shared" si="2"/>
        <v>1028.9664000000002</v>
      </c>
      <c r="O53" s="128">
        <f t="shared" si="3"/>
        <v>514.48320000000012</v>
      </c>
      <c r="P53" s="159">
        <f t="shared" si="4"/>
        <v>1029</v>
      </c>
      <c r="Q53" s="160">
        <f t="shared" si="5"/>
        <v>514.5</v>
      </c>
    </row>
    <row r="54" spans="1:17" ht="147.75" thickTop="1" thickBot="1">
      <c r="A54" s="49" t="s">
        <v>696</v>
      </c>
      <c r="B54" s="167">
        <v>1044</v>
      </c>
      <c r="C54" s="44" t="s">
        <v>51</v>
      </c>
      <c r="D54" s="82">
        <f>B54/(30*100)*100</f>
        <v>34.799999999999997</v>
      </c>
      <c r="E54" s="11">
        <v>0.8</v>
      </c>
      <c r="F54" s="27">
        <v>0.8</v>
      </c>
      <c r="G54" s="109">
        <f t="shared" si="0"/>
        <v>0.4</v>
      </c>
      <c r="H54" s="109">
        <v>0.4</v>
      </c>
      <c r="I54" s="109">
        <v>0.8</v>
      </c>
      <c r="J54" s="113">
        <f t="shared" si="1"/>
        <v>0.4</v>
      </c>
      <c r="K54" s="15" t="s">
        <v>704</v>
      </c>
      <c r="L54" s="12" t="s">
        <v>52</v>
      </c>
      <c r="M54" s="129">
        <v>0.4</v>
      </c>
      <c r="N54" s="142">
        <f t="shared" si="2"/>
        <v>1028.9664000000002</v>
      </c>
      <c r="O54" s="128">
        <f t="shared" si="3"/>
        <v>514.48320000000012</v>
      </c>
      <c r="P54" s="159">
        <f t="shared" si="4"/>
        <v>1029</v>
      </c>
      <c r="Q54" s="160">
        <f t="shared" si="5"/>
        <v>514.5</v>
      </c>
    </row>
    <row r="55" spans="1:17" ht="80.25" thickTop="1" thickBot="1">
      <c r="A55" s="49" t="s">
        <v>714</v>
      </c>
      <c r="B55" s="167">
        <v>8461.7000000000007</v>
      </c>
      <c r="C55" s="44" t="s">
        <v>715</v>
      </c>
      <c r="D55" s="82">
        <f>(B55/3)/18*1.5</f>
        <v>235.04722222222225</v>
      </c>
      <c r="E55" s="11">
        <v>0.2</v>
      </c>
      <c r="F55" s="27">
        <v>0.2</v>
      </c>
      <c r="G55" s="109">
        <f t="shared" si="0"/>
        <v>0.1</v>
      </c>
      <c r="H55" s="109">
        <v>0.1</v>
      </c>
      <c r="I55" s="109">
        <v>0.2</v>
      </c>
      <c r="J55" s="113">
        <f t="shared" si="1"/>
        <v>0.1</v>
      </c>
      <c r="K55" s="15" t="s">
        <v>716</v>
      </c>
      <c r="L55" s="12" t="s">
        <v>717</v>
      </c>
      <c r="M55" s="129">
        <v>0.1</v>
      </c>
      <c r="N55" s="142">
        <f t="shared" si="2"/>
        <v>2084.9628800000005</v>
      </c>
      <c r="O55" s="128">
        <f t="shared" si="3"/>
        <v>1042.4814400000002</v>
      </c>
      <c r="P55" s="159">
        <f t="shared" si="4"/>
        <v>2085</v>
      </c>
      <c r="Q55" s="160">
        <f t="shared" si="5"/>
        <v>1042.5</v>
      </c>
    </row>
    <row r="56" spans="1:17" ht="46.5" thickTop="1" thickBot="1">
      <c r="A56" s="12" t="s">
        <v>54</v>
      </c>
      <c r="B56" s="166">
        <v>545.5</v>
      </c>
      <c r="C56" s="10" t="s">
        <v>55</v>
      </c>
      <c r="D56" s="10">
        <f>B56/50/0.25*1</f>
        <v>43.64</v>
      </c>
      <c r="E56" s="1">
        <v>0.25</v>
      </c>
      <c r="F56" s="95">
        <v>0.25</v>
      </c>
      <c r="G56" s="109">
        <f t="shared" si="0"/>
        <v>0.1</v>
      </c>
      <c r="H56" s="109">
        <v>0.1</v>
      </c>
      <c r="I56" s="109">
        <v>0.25</v>
      </c>
      <c r="J56" s="113">
        <f t="shared" si="1"/>
        <v>0.1</v>
      </c>
      <c r="K56" s="12" t="s">
        <v>56</v>
      </c>
      <c r="L56" s="12" t="s">
        <v>57</v>
      </c>
      <c r="M56" s="129">
        <v>0.1</v>
      </c>
      <c r="N56" s="142">
        <f t="shared" si="2"/>
        <v>168.01400000000001</v>
      </c>
      <c r="O56" s="128">
        <f t="shared" si="3"/>
        <v>67.205600000000018</v>
      </c>
      <c r="P56" s="159">
        <f t="shared" si="4"/>
        <v>168</v>
      </c>
      <c r="Q56" s="160">
        <f t="shared" si="5"/>
        <v>67.2</v>
      </c>
    </row>
    <row r="57" spans="1:17" ht="46.5" thickTop="1" thickBot="1">
      <c r="A57" s="12" t="s">
        <v>54</v>
      </c>
      <c r="B57" s="166">
        <v>536.5</v>
      </c>
      <c r="C57" s="10" t="s">
        <v>55</v>
      </c>
      <c r="D57" s="10">
        <f>B57/30/0.5*1</f>
        <v>35.766666666666666</v>
      </c>
      <c r="E57" s="1">
        <v>0.25</v>
      </c>
      <c r="F57" s="95">
        <v>0.25</v>
      </c>
      <c r="G57" s="109">
        <f t="shared" si="0"/>
        <v>0.1</v>
      </c>
      <c r="H57" s="109">
        <v>0.1</v>
      </c>
      <c r="I57" s="109">
        <v>0.25</v>
      </c>
      <c r="J57" s="113">
        <f t="shared" si="1"/>
        <v>0.1</v>
      </c>
      <c r="K57" s="12" t="s">
        <v>56</v>
      </c>
      <c r="L57" s="12" t="s">
        <v>57</v>
      </c>
      <c r="M57" s="129">
        <v>0.1</v>
      </c>
      <c r="N57" s="142">
        <f t="shared" si="2"/>
        <v>165.24200000000005</v>
      </c>
      <c r="O57" s="128">
        <f t="shared" si="3"/>
        <v>66.096800000000016</v>
      </c>
      <c r="P57" s="159">
        <f t="shared" si="4"/>
        <v>165.2</v>
      </c>
      <c r="Q57" s="160">
        <f t="shared" si="5"/>
        <v>66.099999999999994</v>
      </c>
    </row>
    <row r="58" spans="1:17" ht="46.5" thickTop="1" thickBot="1">
      <c r="A58" s="12" t="s">
        <v>54</v>
      </c>
      <c r="B58" s="166">
        <v>1001.1</v>
      </c>
      <c r="C58" s="10" t="s">
        <v>55</v>
      </c>
      <c r="D58" s="10">
        <f>B58/30/1*1</f>
        <v>33.369999999999997</v>
      </c>
      <c r="E58" s="1">
        <v>0.25</v>
      </c>
      <c r="F58" s="95">
        <v>0.25</v>
      </c>
      <c r="G58" s="109">
        <f t="shared" si="0"/>
        <v>0.1</v>
      </c>
      <c r="H58" s="109">
        <v>0.1</v>
      </c>
      <c r="I58" s="109">
        <v>0.25</v>
      </c>
      <c r="J58" s="113">
        <f t="shared" si="1"/>
        <v>0.1</v>
      </c>
      <c r="K58" s="12" t="s">
        <v>56</v>
      </c>
      <c r="L58" s="12" t="s">
        <v>57</v>
      </c>
      <c r="M58" s="129">
        <v>0.1</v>
      </c>
      <c r="N58" s="142">
        <f t="shared" si="2"/>
        <v>308.33880000000011</v>
      </c>
      <c r="O58" s="128">
        <f t="shared" si="3"/>
        <v>123.33552000000005</v>
      </c>
      <c r="P58" s="159">
        <f t="shared" si="4"/>
        <v>308.3</v>
      </c>
      <c r="Q58" s="160">
        <f t="shared" si="5"/>
        <v>123.3</v>
      </c>
    </row>
    <row r="59" spans="1:17" ht="24" thickTop="1" thickBot="1">
      <c r="A59" s="12" t="s">
        <v>58</v>
      </c>
      <c r="B59" s="166">
        <v>1561.6</v>
      </c>
      <c r="C59" s="10" t="s">
        <v>55</v>
      </c>
      <c r="D59" s="10">
        <f>B59/100/0.25*1</f>
        <v>62.463999999999999</v>
      </c>
      <c r="E59" s="1">
        <v>0.25</v>
      </c>
      <c r="F59" s="95">
        <v>0.25</v>
      </c>
      <c r="G59" s="109">
        <f t="shared" si="0"/>
        <v>0.1</v>
      </c>
      <c r="H59" s="109">
        <v>0.1</v>
      </c>
      <c r="I59" s="109">
        <v>0.25</v>
      </c>
      <c r="J59" s="113">
        <f t="shared" si="1"/>
        <v>0.1</v>
      </c>
      <c r="K59" s="12" t="s">
        <v>59</v>
      </c>
      <c r="L59" s="12" t="s">
        <v>60</v>
      </c>
      <c r="M59" s="129">
        <v>0.1</v>
      </c>
      <c r="N59" s="142">
        <f t="shared" si="2"/>
        <v>480.97280000000001</v>
      </c>
      <c r="O59" s="128">
        <f t="shared" si="3"/>
        <v>192.38912000000002</v>
      </c>
      <c r="P59" s="159">
        <f t="shared" si="4"/>
        <v>481</v>
      </c>
      <c r="Q59" s="160">
        <f t="shared" si="5"/>
        <v>192.4</v>
      </c>
    </row>
    <row r="60" spans="1:17" thickTop="1" thickBot="1">
      <c r="A60" s="15" t="s">
        <v>705</v>
      </c>
      <c r="B60" s="166">
        <v>228.5</v>
      </c>
      <c r="C60" s="19" t="s">
        <v>61</v>
      </c>
      <c r="D60" s="31">
        <f>+B60/10/500*20</f>
        <v>0.91400000000000015</v>
      </c>
      <c r="E60" s="1">
        <v>0.5</v>
      </c>
      <c r="F60" s="95">
        <v>0.5</v>
      </c>
      <c r="G60" s="109">
        <f t="shared" si="0"/>
        <v>9.9999999999999978E-2</v>
      </c>
      <c r="H60" s="109">
        <v>9.9999999999999978E-2</v>
      </c>
      <c r="I60" s="109">
        <v>0.5</v>
      </c>
      <c r="J60" s="113">
        <f t="shared" si="1"/>
        <v>9.9999999999999978E-2</v>
      </c>
      <c r="K60" s="15"/>
      <c r="L60" s="15"/>
      <c r="M60" s="131">
        <v>9.9999999999999978E-2</v>
      </c>
      <c r="N60" s="142">
        <f t="shared" si="2"/>
        <v>140.75600000000003</v>
      </c>
      <c r="O60" s="128">
        <f t="shared" si="3"/>
        <v>28.151199999999996</v>
      </c>
      <c r="P60" s="159">
        <f t="shared" si="4"/>
        <v>140.80000000000001</v>
      </c>
      <c r="Q60" s="160">
        <f t="shared" si="5"/>
        <v>28.2</v>
      </c>
    </row>
    <row r="61" spans="1:17" ht="24" thickTop="1" thickBot="1">
      <c r="A61" s="12" t="s">
        <v>62</v>
      </c>
      <c r="B61" s="166">
        <v>225.8</v>
      </c>
      <c r="C61" s="50" t="s">
        <v>63</v>
      </c>
      <c r="D61" s="10">
        <f>B61/30/4*5</f>
        <v>9.408333333333335</v>
      </c>
      <c r="E61" s="11">
        <v>0.45</v>
      </c>
      <c r="F61" s="27">
        <v>0.45</v>
      </c>
      <c r="G61" s="109">
        <f t="shared" si="0"/>
        <v>0.1</v>
      </c>
      <c r="H61" s="109">
        <v>0.1</v>
      </c>
      <c r="I61" s="109">
        <v>0.45</v>
      </c>
      <c r="J61" s="113">
        <f t="shared" si="1"/>
        <v>0.1</v>
      </c>
      <c r="K61" s="12"/>
      <c r="L61" s="12"/>
      <c r="M61" s="129">
        <v>0.1</v>
      </c>
      <c r="N61" s="142">
        <f t="shared" si="2"/>
        <v>125.18352000000004</v>
      </c>
      <c r="O61" s="128">
        <f t="shared" si="3"/>
        <v>27.818560000000005</v>
      </c>
      <c r="P61" s="159">
        <f t="shared" si="4"/>
        <v>125.2</v>
      </c>
      <c r="Q61" s="160">
        <f t="shared" si="5"/>
        <v>27.8</v>
      </c>
    </row>
    <row r="62" spans="1:17" ht="102.75" thickTop="1" thickBot="1">
      <c r="A62" s="12" t="s">
        <v>64</v>
      </c>
      <c r="B62" s="166">
        <v>490.5</v>
      </c>
      <c r="C62" s="10" t="s">
        <v>65</v>
      </c>
      <c r="D62" s="10">
        <f t="shared" ref="D62:D67" si="6">B62/28/75*75</f>
        <v>17.517857142857142</v>
      </c>
      <c r="E62" s="11">
        <v>0.5</v>
      </c>
      <c r="F62" s="27">
        <v>0.5</v>
      </c>
      <c r="G62" s="109">
        <f t="shared" si="0"/>
        <v>9.9999999999999978E-2</v>
      </c>
      <c r="H62" s="109">
        <v>9.9999999999999978E-2</v>
      </c>
      <c r="I62" s="109">
        <v>0.5</v>
      </c>
      <c r="J62" s="113">
        <f t="shared" si="1"/>
        <v>9.9999999999999978E-2</v>
      </c>
      <c r="K62" s="12"/>
      <c r="L62" s="12" t="s">
        <v>66</v>
      </c>
      <c r="M62" s="129">
        <v>9.9999999999999978E-2</v>
      </c>
      <c r="N62" s="142">
        <f t="shared" si="2"/>
        <v>302.14800000000002</v>
      </c>
      <c r="O62" s="128">
        <f t="shared" si="3"/>
        <v>60.429599999999994</v>
      </c>
      <c r="P62" s="159">
        <f t="shared" si="4"/>
        <v>302.10000000000002</v>
      </c>
      <c r="Q62" s="160">
        <f t="shared" si="5"/>
        <v>60.4</v>
      </c>
    </row>
    <row r="63" spans="1:17" ht="102.75" thickTop="1" thickBot="1">
      <c r="A63" s="12" t="s">
        <v>67</v>
      </c>
      <c r="B63" s="166">
        <v>490.5</v>
      </c>
      <c r="C63" s="10" t="s">
        <v>65</v>
      </c>
      <c r="D63" s="10">
        <f t="shared" si="6"/>
        <v>17.517857142857142</v>
      </c>
      <c r="E63" s="11">
        <v>0.5</v>
      </c>
      <c r="F63" s="27">
        <v>0.5</v>
      </c>
      <c r="G63" s="109">
        <f t="shared" si="0"/>
        <v>9.9999999999999978E-2</v>
      </c>
      <c r="H63" s="109">
        <v>9.9999999999999978E-2</v>
      </c>
      <c r="I63" s="109">
        <v>0.5</v>
      </c>
      <c r="J63" s="113">
        <f t="shared" si="1"/>
        <v>9.9999999999999978E-2</v>
      </c>
      <c r="K63" s="12"/>
      <c r="L63" s="12" t="s">
        <v>66</v>
      </c>
      <c r="M63" s="129">
        <v>9.9999999999999978E-2</v>
      </c>
      <c r="N63" s="142">
        <f t="shared" si="2"/>
        <v>302.14800000000002</v>
      </c>
      <c r="O63" s="128">
        <f t="shared" si="3"/>
        <v>60.429599999999994</v>
      </c>
      <c r="P63" s="159">
        <f t="shared" si="4"/>
        <v>302.10000000000002</v>
      </c>
      <c r="Q63" s="160">
        <f t="shared" si="5"/>
        <v>60.4</v>
      </c>
    </row>
    <row r="64" spans="1:17" ht="102.75" thickTop="1" thickBot="1">
      <c r="A64" s="12" t="s">
        <v>68</v>
      </c>
      <c r="B64" s="166">
        <v>490.5</v>
      </c>
      <c r="C64" s="10" t="s">
        <v>65</v>
      </c>
      <c r="D64" s="10">
        <f t="shared" si="6"/>
        <v>17.517857142857142</v>
      </c>
      <c r="E64" s="11">
        <v>0.5</v>
      </c>
      <c r="F64" s="27">
        <v>0.5</v>
      </c>
      <c r="G64" s="109">
        <f t="shared" si="0"/>
        <v>9.9999999999999978E-2</v>
      </c>
      <c r="H64" s="109">
        <v>9.9999999999999978E-2</v>
      </c>
      <c r="I64" s="109">
        <v>0.5</v>
      </c>
      <c r="J64" s="113">
        <f t="shared" si="1"/>
        <v>9.9999999999999978E-2</v>
      </c>
      <c r="K64" s="12"/>
      <c r="L64" s="12" t="s">
        <v>66</v>
      </c>
      <c r="M64" s="129">
        <v>9.9999999999999978E-2</v>
      </c>
      <c r="N64" s="142">
        <f t="shared" si="2"/>
        <v>302.14800000000002</v>
      </c>
      <c r="O64" s="128">
        <f t="shared" si="3"/>
        <v>60.429599999999994</v>
      </c>
      <c r="P64" s="159">
        <f t="shared" si="4"/>
        <v>302.10000000000002</v>
      </c>
      <c r="Q64" s="160">
        <f t="shared" si="5"/>
        <v>60.4</v>
      </c>
    </row>
    <row r="65" spans="1:17" ht="102.75" thickTop="1" thickBot="1">
      <c r="A65" s="12" t="s">
        <v>69</v>
      </c>
      <c r="B65" s="166">
        <v>490.5</v>
      </c>
      <c r="C65" s="10" t="s">
        <v>65</v>
      </c>
      <c r="D65" s="10">
        <f t="shared" si="6"/>
        <v>17.517857142857142</v>
      </c>
      <c r="E65" s="11">
        <v>0.5</v>
      </c>
      <c r="F65" s="27">
        <v>0.5</v>
      </c>
      <c r="G65" s="109">
        <f t="shared" si="0"/>
        <v>9.9999999999999978E-2</v>
      </c>
      <c r="H65" s="109">
        <v>9.9999999999999978E-2</v>
      </c>
      <c r="I65" s="109">
        <v>0.5</v>
      </c>
      <c r="J65" s="113">
        <f t="shared" si="1"/>
        <v>9.9999999999999978E-2</v>
      </c>
      <c r="K65" s="12"/>
      <c r="L65" s="12" t="s">
        <v>66</v>
      </c>
      <c r="M65" s="129">
        <v>9.9999999999999978E-2</v>
      </c>
      <c r="N65" s="142">
        <f t="shared" si="2"/>
        <v>302.14800000000002</v>
      </c>
      <c r="O65" s="128">
        <f t="shared" si="3"/>
        <v>60.429599999999994</v>
      </c>
      <c r="P65" s="159">
        <f t="shared" si="4"/>
        <v>302.10000000000002</v>
      </c>
      <c r="Q65" s="160">
        <f t="shared" si="5"/>
        <v>60.4</v>
      </c>
    </row>
    <row r="66" spans="1:17" ht="102.75" thickTop="1" thickBot="1">
      <c r="A66" s="12" t="s">
        <v>70</v>
      </c>
      <c r="B66" s="166">
        <v>490.5</v>
      </c>
      <c r="C66" s="10" t="s">
        <v>65</v>
      </c>
      <c r="D66" s="10">
        <f t="shared" si="6"/>
        <v>17.517857142857142</v>
      </c>
      <c r="E66" s="11">
        <v>0.5</v>
      </c>
      <c r="F66" s="27">
        <v>0.5</v>
      </c>
      <c r="G66" s="109">
        <f t="shared" si="0"/>
        <v>9.9999999999999978E-2</v>
      </c>
      <c r="H66" s="109">
        <v>9.9999999999999978E-2</v>
      </c>
      <c r="I66" s="109">
        <v>0.5</v>
      </c>
      <c r="J66" s="113">
        <f t="shared" si="1"/>
        <v>9.9999999999999978E-2</v>
      </c>
      <c r="K66" s="12"/>
      <c r="L66" s="12" t="s">
        <v>66</v>
      </c>
      <c r="M66" s="129">
        <v>9.9999999999999978E-2</v>
      </c>
      <c r="N66" s="142">
        <f t="shared" si="2"/>
        <v>302.14800000000002</v>
      </c>
      <c r="O66" s="128">
        <f t="shared" si="3"/>
        <v>60.429599999999994</v>
      </c>
      <c r="P66" s="159">
        <f t="shared" si="4"/>
        <v>302.10000000000002</v>
      </c>
      <c r="Q66" s="160">
        <f t="shared" si="5"/>
        <v>60.4</v>
      </c>
    </row>
    <row r="67" spans="1:17" ht="102.75" thickTop="1" thickBot="1">
      <c r="A67" s="12" t="s">
        <v>71</v>
      </c>
      <c r="B67" s="166">
        <v>490.5</v>
      </c>
      <c r="C67" s="10" t="s">
        <v>72</v>
      </c>
      <c r="D67" s="10">
        <f t="shared" si="6"/>
        <v>17.517857142857142</v>
      </c>
      <c r="E67" s="1">
        <v>0.5</v>
      </c>
      <c r="F67" s="95">
        <v>0.5</v>
      </c>
      <c r="G67" s="109">
        <f t="shared" ref="G67:G129" si="7">IF(AND(F67&gt;=0.15, F67&lt;=0.45), 0.1, IF(AND(F67&gt;=0.5, F67&lt;=0.9), F67-0.4, F67))</f>
        <v>9.9999999999999978E-2</v>
      </c>
      <c r="H67" s="109">
        <v>9.9999999999999978E-2</v>
      </c>
      <c r="I67" s="109">
        <v>0.5</v>
      </c>
      <c r="J67" s="113">
        <f t="shared" ref="J67:J129" si="8">H67</f>
        <v>9.9999999999999978E-2</v>
      </c>
      <c r="K67" s="12"/>
      <c r="L67" s="12" t="s">
        <v>66</v>
      </c>
      <c r="M67" s="129">
        <v>9.9999999999999978E-2</v>
      </c>
      <c r="N67" s="142">
        <f t="shared" ref="N67:N130" si="9">B67*I67*1.12*1.1</f>
        <v>302.14800000000002</v>
      </c>
      <c r="O67" s="128">
        <f t="shared" ref="O67:O130" si="10">B67*M67*1.12*1.1</f>
        <v>60.429599999999994</v>
      </c>
      <c r="P67" s="159">
        <f t="shared" ref="P67:P130" si="11">ROUND(N67, 1)</f>
        <v>302.10000000000002</v>
      </c>
      <c r="Q67" s="160">
        <f t="shared" ref="Q67:Q130" si="12">ROUND(O67, 1)</f>
        <v>60.4</v>
      </c>
    </row>
    <row r="68" spans="1:17" ht="80.25" thickTop="1" thickBot="1">
      <c r="A68" s="12" t="s">
        <v>73</v>
      </c>
      <c r="B68" s="166">
        <v>1260.2</v>
      </c>
      <c r="C68" s="10" t="s">
        <v>74</v>
      </c>
      <c r="D68" s="10">
        <f>B68/28</f>
        <v>45.00714285714286</v>
      </c>
      <c r="E68" s="50" t="s">
        <v>75</v>
      </c>
      <c r="F68" s="27" t="s">
        <v>75</v>
      </c>
      <c r="G68" s="109" t="str">
        <f t="shared" si="7"/>
        <v>60%</v>
      </c>
      <c r="H68" s="109" t="s">
        <v>75</v>
      </c>
      <c r="I68" s="109" t="s">
        <v>75</v>
      </c>
      <c r="J68" s="113" t="str">
        <f t="shared" si="8"/>
        <v>60%</v>
      </c>
      <c r="K68" s="12" t="s">
        <v>76</v>
      </c>
      <c r="L68" s="12"/>
      <c r="M68" s="129" t="s">
        <v>75</v>
      </c>
      <c r="N68" s="142">
        <f t="shared" si="9"/>
        <v>931.53984000000014</v>
      </c>
      <c r="O68" s="128">
        <f t="shared" si="10"/>
        <v>931.53984000000014</v>
      </c>
      <c r="P68" s="159">
        <f t="shared" si="11"/>
        <v>931.5</v>
      </c>
      <c r="Q68" s="160">
        <f t="shared" si="12"/>
        <v>931.5</v>
      </c>
    </row>
    <row r="69" spans="1:17" thickTop="1" thickBot="1">
      <c r="A69" s="12" t="s">
        <v>77</v>
      </c>
      <c r="B69" s="166">
        <v>327.5</v>
      </c>
      <c r="C69" s="10" t="s">
        <v>78</v>
      </c>
      <c r="D69" s="10">
        <f>B69/30/115*200</f>
        <v>18.985507246376809</v>
      </c>
      <c r="E69" s="11">
        <v>0.15</v>
      </c>
      <c r="F69" s="27">
        <v>0.15</v>
      </c>
      <c r="G69" s="109">
        <f t="shared" si="7"/>
        <v>0.1</v>
      </c>
      <c r="H69" s="109">
        <v>0.1</v>
      </c>
      <c r="I69" s="109">
        <v>0.15</v>
      </c>
      <c r="J69" s="113">
        <f t="shared" si="8"/>
        <v>0.1</v>
      </c>
      <c r="K69" s="12"/>
      <c r="L69" s="12"/>
      <c r="M69" s="129">
        <v>0.1</v>
      </c>
      <c r="N69" s="142">
        <f t="shared" si="9"/>
        <v>60.522000000000006</v>
      </c>
      <c r="O69" s="128">
        <f t="shared" si="10"/>
        <v>40.348000000000013</v>
      </c>
      <c r="P69" s="159">
        <f t="shared" si="11"/>
        <v>60.5</v>
      </c>
      <c r="Q69" s="160">
        <f t="shared" si="12"/>
        <v>40.299999999999997</v>
      </c>
    </row>
    <row r="70" spans="1:17" thickTop="1" thickBot="1">
      <c r="A70" s="12" t="s">
        <v>79</v>
      </c>
      <c r="B70" s="166">
        <v>468.1</v>
      </c>
      <c r="C70" s="10" t="s">
        <v>80</v>
      </c>
      <c r="D70" s="10">
        <f>B70/30/100*90</f>
        <v>14.042999999999999</v>
      </c>
      <c r="E70" s="11">
        <v>0.15</v>
      </c>
      <c r="F70" s="27">
        <v>0.15</v>
      </c>
      <c r="G70" s="109">
        <f t="shared" si="7"/>
        <v>0.1</v>
      </c>
      <c r="H70" s="109">
        <v>0.1</v>
      </c>
      <c r="I70" s="109">
        <v>0.15</v>
      </c>
      <c r="J70" s="113">
        <f t="shared" si="8"/>
        <v>0.1</v>
      </c>
      <c r="K70" s="12"/>
      <c r="L70" s="12"/>
      <c r="M70" s="129">
        <v>0.1</v>
      </c>
      <c r="N70" s="142">
        <f t="shared" si="9"/>
        <v>86.504880000000014</v>
      </c>
      <c r="O70" s="128">
        <f t="shared" si="10"/>
        <v>57.669920000000012</v>
      </c>
      <c r="P70" s="159">
        <f t="shared" si="11"/>
        <v>86.5</v>
      </c>
      <c r="Q70" s="160">
        <f t="shared" si="12"/>
        <v>57.7</v>
      </c>
    </row>
    <row r="71" spans="1:17" ht="114" thickTop="1" thickBot="1">
      <c r="A71" s="12" t="s">
        <v>81</v>
      </c>
      <c r="B71" s="166">
        <v>721.1</v>
      </c>
      <c r="C71" s="10" t="s">
        <v>78</v>
      </c>
      <c r="D71" s="10">
        <f>B71/60/50*200</f>
        <v>48.073333333333338</v>
      </c>
      <c r="E71" s="11">
        <v>0.5</v>
      </c>
      <c r="F71" s="27">
        <v>0.5</v>
      </c>
      <c r="G71" s="109">
        <f t="shared" si="7"/>
        <v>9.9999999999999978E-2</v>
      </c>
      <c r="H71" s="109">
        <v>9.9999999999999978E-2</v>
      </c>
      <c r="I71" s="109">
        <v>0.5</v>
      </c>
      <c r="J71" s="113">
        <f t="shared" si="8"/>
        <v>9.9999999999999978E-2</v>
      </c>
      <c r="K71" s="12" t="s">
        <v>82</v>
      </c>
      <c r="L71" s="12" t="s">
        <v>83</v>
      </c>
      <c r="M71" s="129">
        <v>9.9999999999999978E-2</v>
      </c>
      <c r="N71" s="142">
        <f t="shared" si="9"/>
        <v>444.19760000000008</v>
      </c>
      <c r="O71" s="128">
        <f t="shared" si="10"/>
        <v>88.839520000000007</v>
      </c>
      <c r="P71" s="159">
        <f t="shared" si="11"/>
        <v>444.2</v>
      </c>
      <c r="Q71" s="160">
        <f t="shared" si="12"/>
        <v>88.8</v>
      </c>
    </row>
    <row r="72" spans="1:17" ht="114" thickTop="1" thickBot="1">
      <c r="A72" s="12" t="s">
        <v>81</v>
      </c>
      <c r="B72" s="166">
        <v>1203.0999999999999</v>
      </c>
      <c r="C72" s="10" t="s">
        <v>78</v>
      </c>
      <c r="D72" s="10">
        <f>B72/60/100*200</f>
        <v>40.103333333333332</v>
      </c>
      <c r="E72" s="11">
        <v>0.5</v>
      </c>
      <c r="F72" s="27">
        <v>0.5</v>
      </c>
      <c r="G72" s="109">
        <f t="shared" si="7"/>
        <v>9.9999999999999978E-2</v>
      </c>
      <c r="H72" s="109">
        <v>9.9999999999999978E-2</v>
      </c>
      <c r="I72" s="109">
        <v>0.5</v>
      </c>
      <c r="J72" s="113">
        <f t="shared" si="8"/>
        <v>9.9999999999999978E-2</v>
      </c>
      <c r="K72" s="12" t="s">
        <v>82</v>
      </c>
      <c r="L72" s="12" t="s">
        <v>83</v>
      </c>
      <c r="M72" s="129">
        <v>9.9999999999999978E-2</v>
      </c>
      <c r="N72" s="142">
        <f t="shared" si="9"/>
        <v>741.1096</v>
      </c>
      <c r="O72" s="128">
        <f t="shared" si="10"/>
        <v>148.22191999999998</v>
      </c>
      <c r="P72" s="159">
        <f t="shared" si="11"/>
        <v>741.1</v>
      </c>
      <c r="Q72" s="160">
        <f t="shared" si="12"/>
        <v>148.19999999999999</v>
      </c>
    </row>
    <row r="73" spans="1:17" ht="114" thickTop="1" thickBot="1">
      <c r="A73" s="12" t="s">
        <v>81</v>
      </c>
      <c r="B73" s="166">
        <v>2308.9</v>
      </c>
      <c r="C73" s="10" t="s">
        <v>78</v>
      </c>
      <c r="D73" s="10">
        <f>B73/60/200*200</f>
        <v>38.481666666666669</v>
      </c>
      <c r="E73" s="11">
        <v>0.5</v>
      </c>
      <c r="F73" s="27">
        <v>0.5</v>
      </c>
      <c r="G73" s="109">
        <f t="shared" si="7"/>
        <v>9.9999999999999978E-2</v>
      </c>
      <c r="H73" s="109">
        <v>9.9999999999999978E-2</v>
      </c>
      <c r="I73" s="109">
        <v>0.5</v>
      </c>
      <c r="J73" s="113">
        <f t="shared" si="8"/>
        <v>9.9999999999999978E-2</v>
      </c>
      <c r="K73" s="12" t="s">
        <v>82</v>
      </c>
      <c r="L73" s="12" t="s">
        <v>83</v>
      </c>
      <c r="M73" s="129">
        <v>9.9999999999999978E-2</v>
      </c>
      <c r="N73" s="142">
        <f t="shared" si="9"/>
        <v>1422.2824000000003</v>
      </c>
      <c r="O73" s="128">
        <f t="shared" si="10"/>
        <v>284.45648</v>
      </c>
      <c r="P73" s="159">
        <f t="shared" si="11"/>
        <v>1422.3</v>
      </c>
      <c r="Q73" s="160">
        <f t="shared" si="12"/>
        <v>284.5</v>
      </c>
    </row>
    <row r="74" spans="1:17" thickTop="1" thickBot="1">
      <c r="A74" s="12" t="s">
        <v>84</v>
      </c>
      <c r="B74" s="166">
        <v>562.20000000000005</v>
      </c>
      <c r="C74" s="10" t="s">
        <v>85</v>
      </c>
      <c r="D74" s="10">
        <f>B74/200/0.4*2.5</f>
        <v>17.568750000000001</v>
      </c>
      <c r="E74" s="11">
        <v>0.75</v>
      </c>
      <c r="F74" s="27">
        <v>0.75</v>
      </c>
      <c r="G74" s="109">
        <f t="shared" si="7"/>
        <v>0.35</v>
      </c>
      <c r="H74" s="109">
        <v>0.35</v>
      </c>
      <c r="I74" s="109">
        <v>0.75</v>
      </c>
      <c r="J74" s="113">
        <f t="shared" si="8"/>
        <v>0.35</v>
      </c>
      <c r="K74" s="12"/>
      <c r="L74" s="12"/>
      <c r="M74" s="129">
        <v>0.35</v>
      </c>
      <c r="N74" s="142">
        <f t="shared" si="9"/>
        <v>519.47280000000012</v>
      </c>
      <c r="O74" s="128">
        <f t="shared" si="10"/>
        <v>242.42064000000005</v>
      </c>
      <c r="P74" s="159">
        <f t="shared" si="11"/>
        <v>519.5</v>
      </c>
      <c r="Q74" s="160">
        <f t="shared" si="12"/>
        <v>242.4</v>
      </c>
    </row>
    <row r="75" spans="1:17" ht="24" thickTop="1" thickBot="1">
      <c r="A75" s="12" t="s">
        <v>86</v>
      </c>
      <c r="B75" s="168">
        <v>343.5</v>
      </c>
      <c r="C75" s="9" t="s">
        <v>12</v>
      </c>
      <c r="D75" s="10">
        <f>B75/60/35*40</f>
        <v>6.5428571428571427</v>
      </c>
      <c r="E75" s="11">
        <v>0.55000000000000004</v>
      </c>
      <c r="F75" s="27">
        <v>0.55000000000000004</v>
      </c>
      <c r="G75" s="109">
        <f t="shared" si="7"/>
        <v>0.15000000000000002</v>
      </c>
      <c r="H75" s="109">
        <v>0.15000000000000002</v>
      </c>
      <c r="I75" s="109">
        <v>0.55000000000000004</v>
      </c>
      <c r="J75" s="113">
        <f t="shared" si="8"/>
        <v>0.15000000000000002</v>
      </c>
      <c r="K75" s="12" t="s">
        <v>87</v>
      </c>
      <c r="L75" s="12" t="s">
        <v>88</v>
      </c>
      <c r="M75" s="129">
        <v>0.15000000000000002</v>
      </c>
      <c r="N75" s="142">
        <f t="shared" si="9"/>
        <v>232.75560000000004</v>
      </c>
      <c r="O75" s="128">
        <f t="shared" si="10"/>
        <v>63.478800000000021</v>
      </c>
      <c r="P75" s="159">
        <f t="shared" si="11"/>
        <v>232.8</v>
      </c>
      <c r="Q75" s="160">
        <f t="shared" si="12"/>
        <v>63.5</v>
      </c>
    </row>
    <row r="76" spans="1:17" ht="24" thickTop="1" thickBot="1">
      <c r="A76" s="51" t="s">
        <v>89</v>
      </c>
      <c r="B76" s="168">
        <v>343.5</v>
      </c>
      <c r="C76" s="52" t="s">
        <v>12</v>
      </c>
      <c r="D76" s="27">
        <f>B76/60/35*40</f>
        <v>6.5428571428571427</v>
      </c>
      <c r="E76" s="11">
        <v>0.55000000000000004</v>
      </c>
      <c r="F76" s="27">
        <v>0.55000000000000004</v>
      </c>
      <c r="G76" s="109">
        <f t="shared" si="7"/>
        <v>0.15000000000000002</v>
      </c>
      <c r="H76" s="109">
        <v>0.15000000000000002</v>
      </c>
      <c r="I76" s="109">
        <v>0.55000000000000004</v>
      </c>
      <c r="J76" s="113">
        <f t="shared" si="8"/>
        <v>0.15000000000000002</v>
      </c>
      <c r="K76" s="12" t="s">
        <v>87</v>
      </c>
      <c r="L76" s="12" t="s">
        <v>88</v>
      </c>
      <c r="M76" s="129">
        <v>0.15000000000000002</v>
      </c>
      <c r="N76" s="142">
        <f t="shared" si="9"/>
        <v>232.75560000000004</v>
      </c>
      <c r="O76" s="128">
        <f t="shared" si="10"/>
        <v>63.478800000000021</v>
      </c>
      <c r="P76" s="159">
        <f t="shared" si="11"/>
        <v>232.8</v>
      </c>
      <c r="Q76" s="160">
        <f t="shared" si="12"/>
        <v>63.5</v>
      </c>
    </row>
    <row r="77" spans="1:17" ht="24" thickTop="1" thickBot="1">
      <c r="A77" s="12" t="s">
        <v>90</v>
      </c>
      <c r="B77" s="168">
        <v>343.5</v>
      </c>
      <c r="C77" s="9" t="s">
        <v>12</v>
      </c>
      <c r="D77" s="27">
        <f>B77/60/35*40</f>
        <v>6.5428571428571427</v>
      </c>
      <c r="E77" s="11">
        <v>0.55000000000000004</v>
      </c>
      <c r="F77" s="27">
        <v>0.55000000000000004</v>
      </c>
      <c r="G77" s="109">
        <f t="shared" si="7"/>
        <v>0.15000000000000002</v>
      </c>
      <c r="H77" s="109">
        <v>0.15000000000000002</v>
      </c>
      <c r="I77" s="109">
        <v>0.55000000000000004</v>
      </c>
      <c r="J77" s="113">
        <f t="shared" si="8"/>
        <v>0.15000000000000002</v>
      </c>
      <c r="K77" s="12" t="s">
        <v>87</v>
      </c>
      <c r="L77" s="12" t="s">
        <v>88</v>
      </c>
      <c r="M77" s="129">
        <v>0.15000000000000002</v>
      </c>
      <c r="N77" s="142">
        <f t="shared" si="9"/>
        <v>232.75560000000004</v>
      </c>
      <c r="O77" s="128">
        <f t="shared" si="10"/>
        <v>63.478800000000021</v>
      </c>
      <c r="P77" s="159">
        <f t="shared" si="11"/>
        <v>232.8</v>
      </c>
      <c r="Q77" s="160">
        <f t="shared" si="12"/>
        <v>63.5</v>
      </c>
    </row>
    <row r="78" spans="1:17" ht="24" thickTop="1" thickBot="1">
      <c r="A78" s="53" t="s">
        <v>91</v>
      </c>
      <c r="B78" s="168">
        <v>588.5</v>
      </c>
      <c r="C78" s="9" t="s">
        <v>12</v>
      </c>
      <c r="D78" s="31">
        <f>B78/30/80*40</f>
        <v>9.8083333333333336</v>
      </c>
      <c r="E78" s="79">
        <v>0.9</v>
      </c>
      <c r="F78" s="31">
        <v>0.9</v>
      </c>
      <c r="G78" s="109">
        <f t="shared" si="7"/>
        <v>0.5</v>
      </c>
      <c r="H78" s="109">
        <v>0.5</v>
      </c>
      <c r="I78" s="109">
        <v>0.9</v>
      </c>
      <c r="J78" s="113">
        <f t="shared" si="8"/>
        <v>0.5</v>
      </c>
      <c r="K78" s="12" t="s">
        <v>87</v>
      </c>
      <c r="L78" s="12" t="s">
        <v>88</v>
      </c>
      <c r="M78" s="129">
        <v>0.5</v>
      </c>
      <c r="N78" s="142">
        <f t="shared" si="9"/>
        <v>652.52880000000016</v>
      </c>
      <c r="O78" s="128">
        <f t="shared" si="10"/>
        <v>362.51600000000008</v>
      </c>
      <c r="P78" s="159">
        <f t="shared" si="11"/>
        <v>652.5</v>
      </c>
      <c r="Q78" s="160">
        <f t="shared" si="12"/>
        <v>362.5</v>
      </c>
    </row>
    <row r="79" spans="1:17" ht="24" thickTop="1" thickBot="1">
      <c r="A79" s="12" t="s">
        <v>93</v>
      </c>
      <c r="B79" s="166">
        <v>167.7</v>
      </c>
      <c r="C79" s="10" t="s">
        <v>39</v>
      </c>
      <c r="D79" s="10">
        <f>B79/20/250*2000</f>
        <v>67.08</v>
      </c>
      <c r="E79" s="1">
        <v>0.5</v>
      </c>
      <c r="F79" s="95">
        <v>0.5</v>
      </c>
      <c r="G79" s="109">
        <f t="shared" si="7"/>
        <v>9.9999999999999978E-2</v>
      </c>
      <c r="H79" s="109">
        <v>9.9999999999999978E-2</v>
      </c>
      <c r="I79" s="109">
        <v>0.5</v>
      </c>
      <c r="J79" s="113">
        <f t="shared" si="8"/>
        <v>9.9999999999999978E-2</v>
      </c>
      <c r="K79" s="12"/>
      <c r="L79" s="12" t="s">
        <v>94</v>
      </c>
      <c r="M79" s="129">
        <v>9.9999999999999978E-2</v>
      </c>
      <c r="N79" s="142">
        <f t="shared" si="9"/>
        <v>103.30320000000002</v>
      </c>
      <c r="O79" s="128">
        <f t="shared" si="10"/>
        <v>20.660640000000001</v>
      </c>
      <c r="P79" s="159">
        <f t="shared" si="11"/>
        <v>103.3</v>
      </c>
      <c r="Q79" s="160">
        <f t="shared" si="12"/>
        <v>20.7</v>
      </c>
    </row>
    <row r="80" spans="1:17" thickTop="1" thickBot="1">
      <c r="A80" s="12" t="s">
        <v>95</v>
      </c>
      <c r="B80" s="166">
        <v>296</v>
      </c>
      <c r="C80" s="9" t="s">
        <v>96</v>
      </c>
      <c r="D80" s="10">
        <f>B80/28/0.2*0.3</f>
        <v>15.857142857142856</v>
      </c>
      <c r="E80" s="11">
        <v>0.6</v>
      </c>
      <c r="F80" s="27">
        <v>0.6</v>
      </c>
      <c r="G80" s="109">
        <f t="shared" si="7"/>
        <v>0.19999999999999996</v>
      </c>
      <c r="H80" s="109">
        <v>0.19999999999999996</v>
      </c>
      <c r="I80" s="109">
        <v>0.6</v>
      </c>
      <c r="J80" s="113">
        <f t="shared" si="8"/>
        <v>0.19999999999999996</v>
      </c>
      <c r="K80" s="12" t="s">
        <v>97</v>
      </c>
      <c r="L80" s="12"/>
      <c r="M80" s="129">
        <v>0.19999999999999996</v>
      </c>
      <c r="N80" s="142">
        <f t="shared" si="9"/>
        <v>218.80320000000003</v>
      </c>
      <c r="O80" s="128">
        <f t="shared" si="10"/>
        <v>72.934399999999997</v>
      </c>
      <c r="P80" s="159">
        <f t="shared" si="11"/>
        <v>218.8</v>
      </c>
      <c r="Q80" s="160">
        <f t="shared" si="12"/>
        <v>72.900000000000006</v>
      </c>
    </row>
    <row r="81" spans="1:17" thickTop="1" thickBot="1">
      <c r="A81" s="12" t="s">
        <v>95</v>
      </c>
      <c r="B81" s="166">
        <v>453.9</v>
      </c>
      <c r="C81" s="9" t="s">
        <v>96</v>
      </c>
      <c r="D81" s="10">
        <f>B81/28/0.4*0.3</f>
        <v>12.158035714285711</v>
      </c>
      <c r="E81" s="11">
        <v>0.6</v>
      </c>
      <c r="F81" s="27">
        <v>0.6</v>
      </c>
      <c r="G81" s="109">
        <f t="shared" si="7"/>
        <v>0.19999999999999996</v>
      </c>
      <c r="H81" s="109">
        <v>0.19999999999999996</v>
      </c>
      <c r="I81" s="109">
        <v>0.6</v>
      </c>
      <c r="J81" s="113">
        <f t="shared" si="8"/>
        <v>0.19999999999999996</v>
      </c>
      <c r="K81" s="12" t="s">
        <v>97</v>
      </c>
      <c r="L81" s="12"/>
      <c r="M81" s="129">
        <v>0.19999999999999996</v>
      </c>
      <c r="N81" s="142">
        <f t="shared" si="9"/>
        <v>335.52288000000004</v>
      </c>
      <c r="O81" s="128">
        <f t="shared" si="10"/>
        <v>111.84095999999998</v>
      </c>
      <c r="P81" s="159">
        <f t="shared" si="11"/>
        <v>335.5</v>
      </c>
      <c r="Q81" s="160">
        <f t="shared" si="12"/>
        <v>111.8</v>
      </c>
    </row>
    <row r="82" spans="1:17" thickTop="1" thickBot="1">
      <c r="A82" s="12" t="s">
        <v>98</v>
      </c>
      <c r="B82" s="166">
        <v>317.10000000000002</v>
      </c>
      <c r="C82" s="9" t="s">
        <v>96</v>
      </c>
      <c r="D82" s="10">
        <f>B82/30/0.2*0.3</f>
        <v>15.855</v>
      </c>
      <c r="E82" s="1">
        <v>0.6</v>
      </c>
      <c r="F82" s="95">
        <v>0.6</v>
      </c>
      <c r="G82" s="109">
        <f t="shared" si="7"/>
        <v>0.19999999999999996</v>
      </c>
      <c r="H82" s="109">
        <v>0.19999999999999996</v>
      </c>
      <c r="I82" s="109">
        <v>0.6</v>
      </c>
      <c r="J82" s="113">
        <f t="shared" si="8"/>
        <v>0.19999999999999996</v>
      </c>
      <c r="K82" s="12" t="s">
        <v>97</v>
      </c>
      <c r="L82" s="12"/>
      <c r="M82" s="129">
        <v>0.19999999999999996</v>
      </c>
      <c r="N82" s="142">
        <f t="shared" si="9"/>
        <v>234.40032000000008</v>
      </c>
      <c r="O82" s="128">
        <f t="shared" si="10"/>
        <v>78.133439999999993</v>
      </c>
      <c r="P82" s="159">
        <f t="shared" si="11"/>
        <v>234.4</v>
      </c>
      <c r="Q82" s="160">
        <f t="shared" si="12"/>
        <v>78.099999999999994</v>
      </c>
    </row>
    <row r="83" spans="1:17" thickTop="1" thickBot="1">
      <c r="A83" s="12" t="s">
        <v>99</v>
      </c>
      <c r="B83" s="166">
        <v>311.39999999999998</v>
      </c>
      <c r="C83" s="9" t="s">
        <v>96</v>
      </c>
      <c r="D83" s="10">
        <f>B83/30/0.3*0.3</f>
        <v>10.38</v>
      </c>
      <c r="E83" s="1">
        <v>0.6</v>
      </c>
      <c r="F83" s="95">
        <v>0.6</v>
      </c>
      <c r="G83" s="109">
        <f t="shared" si="7"/>
        <v>0.19999999999999996</v>
      </c>
      <c r="H83" s="109">
        <v>0.19999999999999996</v>
      </c>
      <c r="I83" s="109">
        <v>0.6</v>
      </c>
      <c r="J83" s="113">
        <f t="shared" si="8"/>
        <v>0.19999999999999996</v>
      </c>
      <c r="K83" s="12" t="s">
        <v>97</v>
      </c>
      <c r="L83" s="12"/>
      <c r="M83" s="129">
        <v>0.19999999999999996</v>
      </c>
      <c r="N83" s="142">
        <f t="shared" si="9"/>
        <v>230.18688</v>
      </c>
      <c r="O83" s="128">
        <f t="shared" si="10"/>
        <v>76.728959999999987</v>
      </c>
      <c r="P83" s="159">
        <f t="shared" si="11"/>
        <v>230.2</v>
      </c>
      <c r="Q83" s="160">
        <f t="shared" si="12"/>
        <v>76.7</v>
      </c>
    </row>
    <row r="84" spans="1:17" thickTop="1" thickBot="1">
      <c r="A84" s="12" t="s">
        <v>100</v>
      </c>
      <c r="B84" s="166">
        <v>486.3</v>
      </c>
      <c r="C84" s="9" t="s">
        <v>96</v>
      </c>
      <c r="D84" s="10">
        <f>B84/30/0.4*0.3</f>
        <v>12.157499999999999</v>
      </c>
      <c r="E84" s="1">
        <v>0.6</v>
      </c>
      <c r="F84" s="95">
        <v>0.6</v>
      </c>
      <c r="G84" s="109">
        <f t="shared" si="7"/>
        <v>0.19999999999999996</v>
      </c>
      <c r="H84" s="109">
        <v>0.19999999999999996</v>
      </c>
      <c r="I84" s="109">
        <v>0.6</v>
      </c>
      <c r="J84" s="113">
        <f t="shared" si="8"/>
        <v>0.19999999999999996</v>
      </c>
      <c r="K84" s="12" t="s">
        <v>97</v>
      </c>
      <c r="L84" s="12"/>
      <c r="M84" s="129">
        <v>0.19999999999999996</v>
      </c>
      <c r="N84" s="142">
        <f t="shared" si="9"/>
        <v>359.47296000000006</v>
      </c>
      <c r="O84" s="128">
        <f t="shared" si="10"/>
        <v>119.82432</v>
      </c>
      <c r="P84" s="159">
        <f t="shared" si="11"/>
        <v>359.5</v>
      </c>
      <c r="Q84" s="160">
        <f t="shared" si="12"/>
        <v>119.8</v>
      </c>
    </row>
    <row r="85" spans="1:17" ht="24" thickTop="1" thickBot="1">
      <c r="A85" s="12" t="s">
        <v>102</v>
      </c>
      <c r="B85" s="166">
        <v>273.5</v>
      </c>
      <c r="C85" s="10" t="s">
        <v>103</v>
      </c>
      <c r="D85" s="10">
        <f>B85/30/2*4</f>
        <v>18.233333333333334</v>
      </c>
      <c r="E85" s="1">
        <v>0.6</v>
      </c>
      <c r="F85" s="95">
        <v>0.6</v>
      </c>
      <c r="G85" s="109">
        <f t="shared" si="7"/>
        <v>0.19999999999999996</v>
      </c>
      <c r="H85" s="109">
        <v>0.19999999999999996</v>
      </c>
      <c r="I85" s="109">
        <v>0.6</v>
      </c>
      <c r="J85" s="113">
        <f t="shared" si="8"/>
        <v>0.19999999999999996</v>
      </c>
      <c r="K85" s="12"/>
      <c r="L85" s="12" t="s">
        <v>104</v>
      </c>
      <c r="M85" s="129">
        <v>0.19999999999999996</v>
      </c>
      <c r="N85" s="142">
        <f t="shared" si="9"/>
        <v>202.17120000000003</v>
      </c>
      <c r="O85" s="128">
        <f t="shared" si="10"/>
        <v>67.3904</v>
      </c>
      <c r="P85" s="159">
        <f t="shared" si="11"/>
        <v>202.2</v>
      </c>
      <c r="Q85" s="160">
        <f t="shared" si="12"/>
        <v>67.400000000000006</v>
      </c>
    </row>
    <row r="86" spans="1:17" ht="24" thickTop="1" thickBot="1">
      <c r="A86" s="12" t="s">
        <v>102</v>
      </c>
      <c r="B86" s="166">
        <v>463.6</v>
      </c>
      <c r="C86" s="10" t="s">
        <v>103</v>
      </c>
      <c r="D86" s="10">
        <f>B86/30/4*4</f>
        <v>15.453333333333335</v>
      </c>
      <c r="E86" s="1">
        <v>0.6</v>
      </c>
      <c r="F86" s="95">
        <v>0.6</v>
      </c>
      <c r="G86" s="109">
        <f t="shared" si="7"/>
        <v>0.19999999999999996</v>
      </c>
      <c r="H86" s="109">
        <v>0.19999999999999996</v>
      </c>
      <c r="I86" s="109">
        <v>0.6</v>
      </c>
      <c r="J86" s="113">
        <f t="shared" si="8"/>
        <v>0.19999999999999996</v>
      </c>
      <c r="K86" s="12"/>
      <c r="L86" s="12" t="s">
        <v>104</v>
      </c>
      <c r="M86" s="129">
        <v>0.19999999999999996</v>
      </c>
      <c r="N86" s="142">
        <f t="shared" si="9"/>
        <v>342.69312000000008</v>
      </c>
      <c r="O86" s="128">
        <f t="shared" si="10"/>
        <v>114.23103999999999</v>
      </c>
      <c r="P86" s="159">
        <f t="shared" si="11"/>
        <v>342.7</v>
      </c>
      <c r="Q86" s="160">
        <f t="shared" si="12"/>
        <v>114.2</v>
      </c>
    </row>
    <row r="87" spans="1:17" thickTop="1" thickBot="1">
      <c r="A87" s="12" t="s">
        <v>105</v>
      </c>
      <c r="B87" s="166">
        <v>224.6</v>
      </c>
      <c r="C87" s="10" t="s">
        <v>85</v>
      </c>
      <c r="D87" s="10">
        <f>B87/30/1.5*2.5</f>
        <v>12.477777777777776</v>
      </c>
      <c r="E87" s="11">
        <v>0.75</v>
      </c>
      <c r="F87" s="27">
        <v>0.75</v>
      </c>
      <c r="G87" s="109">
        <f t="shared" si="7"/>
        <v>0.35</v>
      </c>
      <c r="H87" s="109">
        <v>0.35</v>
      </c>
      <c r="I87" s="109">
        <v>0.75</v>
      </c>
      <c r="J87" s="113">
        <f t="shared" si="8"/>
        <v>0.35</v>
      </c>
      <c r="K87" s="12"/>
      <c r="L87" s="12"/>
      <c r="M87" s="129">
        <v>0.35</v>
      </c>
      <c r="N87" s="142">
        <f t="shared" si="9"/>
        <v>207.53040000000004</v>
      </c>
      <c r="O87" s="128">
        <f t="shared" si="10"/>
        <v>96.847520000000017</v>
      </c>
      <c r="P87" s="159">
        <f t="shared" si="11"/>
        <v>207.5</v>
      </c>
      <c r="Q87" s="160">
        <f t="shared" si="12"/>
        <v>96.8</v>
      </c>
    </row>
    <row r="88" spans="1:17" thickTop="1" thickBot="1">
      <c r="A88" s="39" t="s">
        <v>106</v>
      </c>
      <c r="B88" s="166">
        <v>224.6</v>
      </c>
      <c r="C88" s="10" t="s">
        <v>85</v>
      </c>
      <c r="D88" s="10">
        <f>B88/30/1.5*2.5</f>
        <v>12.477777777777776</v>
      </c>
      <c r="E88" s="11">
        <v>0.75</v>
      </c>
      <c r="F88" s="27">
        <v>0.75</v>
      </c>
      <c r="G88" s="109">
        <f t="shared" si="7"/>
        <v>0.35</v>
      </c>
      <c r="H88" s="109">
        <v>0.35</v>
      </c>
      <c r="I88" s="109">
        <v>0.75</v>
      </c>
      <c r="J88" s="113">
        <f t="shared" si="8"/>
        <v>0.35</v>
      </c>
      <c r="K88" s="12"/>
      <c r="L88" s="12"/>
      <c r="M88" s="129">
        <v>0.35</v>
      </c>
      <c r="N88" s="142">
        <f t="shared" si="9"/>
        <v>207.53040000000004</v>
      </c>
      <c r="O88" s="128">
        <f t="shared" si="10"/>
        <v>96.847520000000017</v>
      </c>
      <c r="P88" s="159">
        <f t="shared" si="11"/>
        <v>207.5</v>
      </c>
      <c r="Q88" s="160">
        <f t="shared" si="12"/>
        <v>96.8</v>
      </c>
    </row>
    <row r="89" spans="1:17" thickTop="1" thickBot="1">
      <c r="A89" s="39" t="s">
        <v>107</v>
      </c>
      <c r="B89" s="166">
        <v>224.6</v>
      </c>
      <c r="C89" s="10" t="s">
        <v>85</v>
      </c>
      <c r="D89" s="10">
        <f>B89/30/1.5*2.5</f>
        <v>12.477777777777776</v>
      </c>
      <c r="E89" s="11">
        <v>0.75</v>
      </c>
      <c r="F89" s="27">
        <v>0.75</v>
      </c>
      <c r="G89" s="109">
        <f t="shared" si="7"/>
        <v>0.35</v>
      </c>
      <c r="H89" s="109">
        <v>0.35</v>
      </c>
      <c r="I89" s="109">
        <v>0.75</v>
      </c>
      <c r="J89" s="113">
        <f t="shared" si="8"/>
        <v>0.35</v>
      </c>
      <c r="K89" s="12"/>
      <c r="L89" s="12"/>
      <c r="M89" s="129">
        <v>0.35</v>
      </c>
      <c r="N89" s="142">
        <f t="shared" si="9"/>
        <v>207.53040000000004</v>
      </c>
      <c r="O89" s="128">
        <f t="shared" si="10"/>
        <v>96.847520000000017</v>
      </c>
      <c r="P89" s="159">
        <f t="shared" si="11"/>
        <v>207.5</v>
      </c>
      <c r="Q89" s="160">
        <f t="shared" si="12"/>
        <v>96.8</v>
      </c>
    </row>
    <row r="90" spans="1:17" thickTop="1" thickBot="1">
      <c r="A90" s="41" t="s">
        <v>108</v>
      </c>
      <c r="B90" s="167">
        <v>224.6</v>
      </c>
      <c r="C90" s="10" t="s">
        <v>85</v>
      </c>
      <c r="D90" s="10">
        <f>B90/30/1.5*2.5</f>
        <v>12.477777777777776</v>
      </c>
      <c r="E90" s="42">
        <v>0.75</v>
      </c>
      <c r="F90" s="97">
        <v>0.75</v>
      </c>
      <c r="G90" s="109">
        <f t="shared" si="7"/>
        <v>0.35</v>
      </c>
      <c r="H90" s="109">
        <v>0.35</v>
      </c>
      <c r="I90" s="109">
        <v>0.75</v>
      </c>
      <c r="J90" s="113">
        <f t="shared" si="8"/>
        <v>0.35</v>
      </c>
      <c r="K90" s="41"/>
      <c r="L90" s="41"/>
      <c r="M90" s="130">
        <v>0.35</v>
      </c>
      <c r="N90" s="142">
        <f t="shared" si="9"/>
        <v>207.53040000000004</v>
      </c>
      <c r="O90" s="128">
        <f t="shared" si="10"/>
        <v>96.847520000000017</v>
      </c>
      <c r="P90" s="159">
        <f t="shared" si="11"/>
        <v>207.5</v>
      </c>
      <c r="Q90" s="160">
        <f t="shared" si="12"/>
        <v>96.8</v>
      </c>
    </row>
    <row r="91" spans="1:17" thickTop="1" thickBot="1">
      <c r="A91" s="17" t="s">
        <v>109</v>
      </c>
      <c r="B91" s="167">
        <v>430.8</v>
      </c>
      <c r="C91" s="10" t="s">
        <v>110</v>
      </c>
      <c r="D91" s="10">
        <f>B91/30/5*15</f>
        <v>43.080000000000005</v>
      </c>
      <c r="E91" s="11">
        <v>0.7</v>
      </c>
      <c r="F91" s="27">
        <v>0.7</v>
      </c>
      <c r="G91" s="109">
        <f t="shared" si="7"/>
        <v>0.29999999999999993</v>
      </c>
      <c r="H91" s="109">
        <v>0.29999999999999993</v>
      </c>
      <c r="I91" s="109">
        <v>0.7</v>
      </c>
      <c r="J91" s="113">
        <f t="shared" si="8"/>
        <v>0.29999999999999993</v>
      </c>
      <c r="K91" s="12"/>
      <c r="L91" s="12"/>
      <c r="M91" s="129">
        <v>0.29999999999999993</v>
      </c>
      <c r="N91" s="142">
        <f t="shared" si="9"/>
        <v>371.52192000000008</v>
      </c>
      <c r="O91" s="128">
        <f t="shared" si="10"/>
        <v>159.22368</v>
      </c>
      <c r="P91" s="159">
        <f t="shared" si="11"/>
        <v>371.5</v>
      </c>
      <c r="Q91" s="160">
        <f t="shared" si="12"/>
        <v>159.19999999999999</v>
      </c>
    </row>
    <row r="92" spans="1:17" thickTop="1" thickBot="1">
      <c r="A92" s="17" t="s">
        <v>109</v>
      </c>
      <c r="B92" s="167">
        <v>496</v>
      </c>
      <c r="C92" s="10" t="s">
        <v>110</v>
      </c>
      <c r="D92" s="10">
        <f>B92/30/10*15</f>
        <v>24.800000000000004</v>
      </c>
      <c r="E92" s="11">
        <v>0.7</v>
      </c>
      <c r="F92" s="27">
        <v>0.7</v>
      </c>
      <c r="G92" s="109">
        <f t="shared" si="7"/>
        <v>0.29999999999999993</v>
      </c>
      <c r="H92" s="109">
        <v>0.29999999999999993</v>
      </c>
      <c r="I92" s="109">
        <v>0.7</v>
      </c>
      <c r="J92" s="113">
        <f t="shared" si="8"/>
        <v>0.29999999999999993</v>
      </c>
      <c r="K92" s="12"/>
      <c r="L92" s="12"/>
      <c r="M92" s="129">
        <v>0.29999999999999993</v>
      </c>
      <c r="N92" s="142">
        <f t="shared" si="9"/>
        <v>427.75040000000007</v>
      </c>
      <c r="O92" s="128">
        <f t="shared" si="10"/>
        <v>183.32159999999999</v>
      </c>
      <c r="P92" s="159">
        <f t="shared" si="11"/>
        <v>427.8</v>
      </c>
      <c r="Q92" s="160">
        <f t="shared" si="12"/>
        <v>183.3</v>
      </c>
    </row>
    <row r="93" spans="1:17" ht="69" thickTop="1" thickBot="1">
      <c r="A93" s="12" t="s">
        <v>111</v>
      </c>
      <c r="B93" s="166">
        <v>1292.7</v>
      </c>
      <c r="C93" s="9" t="s">
        <v>112</v>
      </c>
      <c r="D93" s="10">
        <f>B93/30/25*50</f>
        <v>86.18</v>
      </c>
      <c r="E93" s="11">
        <v>0.9</v>
      </c>
      <c r="F93" s="27">
        <v>0.9</v>
      </c>
      <c r="G93" s="109">
        <f t="shared" si="7"/>
        <v>0.5</v>
      </c>
      <c r="H93" s="109">
        <v>0.5</v>
      </c>
      <c r="I93" s="109">
        <v>0.9</v>
      </c>
      <c r="J93" s="113">
        <f t="shared" si="8"/>
        <v>0.5</v>
      </c>
      <c r="K93" s="12" t="s">
        <v>113</v>
      </c>
      <c r="L93" s="12"/>
      <c r="M93" s="129">
        <v>0.5</v>
      </c>
      <c r="N93" s="142">
        <f t="shared" si="9"/>
        <v>1433.3457600000004</v>
      </c>
      <c r="O93" s="128">
        <f t="shared" si="10"/>
        <v>796.30320000000017</v>
      </c>
      <c r="P93" s="159">
        <f t="shared" si="11"/>
        <v>1433.3</v>
      </c>
      <c r="Q93" s="160">
        <f t="shared" si="12"/>
        <v>796.3</v>
      </c>
    </row>
    <row r="94" spans="1:17" ht="69" thickTop="1" thickBot="1">
      <c r="A94" s="12" t="s">
        <v>111</v>
      </c>
      <c r="B94" s="166">
        <v>1339.3</v>
      </c>
      <c r="C94" s="9" t="s">
        <v>112</v>
      </c>
      <c r="D94" s="10">
        <f>B94/30/50*50</f>
        <v>44.643333333333331</v>
      </c>
      <c r="E94" s="11">
        <v>0.9</v>
      </c>
      <c r="F94" s="27">
        <v>0.9</v>
      </c>
      <c r="G94" s="109">
        <f t="shared" si="7"/>
        <v>0.5</v>
      </c>
      <c r="H94" s="109">
        <v>0.5</v>
      </c>
      <c r="I94" s="109">
        <v>0.9</v>
      </c>
      <c r="J94" s="113">
        <f t="shared" si="8"/>
        <v>0.5</v>
      </c>
      <c r="K94" s="12" t="s">
        <v>113</v>
      </c>
      <c r="L94" s="12"/>
      <c r="M94" s="129">
        <v>0.5</v>
      </c>
      <c r="N94" s="142">
        <f t="shared" si="9"/>
        <v>1485.0158400000003</v>
      </c>
      <c r="O94" s="128">
        <f t="shared" si="10"/>
        <v>825.00880000000006</v>
      </c>
      <c r="P94" s="159">
        <f t="shared" si="11"/>
        <v>1485</v>
      </c>
      <c r="Q94" s="160">
        <f t="shared" si="12"/>
        <v>825</v>
      </c>
    </row>
    <row r="95" spans="1:17" ht="69" thickTop="1" thickBot="1">
      <c r="A95" s="41" t="s">
        <v>114</v>
      </c>
      <c r="B95" s="166">
        <v>1104.9000000000001</v>
      </c>
      <c r="C95" s="9" t="s">
        <v>112</v>
      </c>
      <c r="D95" s="10">
        <f>B95/30/25*50</f>
        <v>73.660000000000011</v>
      </c>
      <c r="E95" s="11">
        <v>0.9</v>
      </c>
      <c r="F95" s="27">
        <v>0.9</v>
      </c>
      <c r="G95" s="109">
        <f t="shared" si="7"/>
        <v>0.5</v>
      </c>
      <c r="H95" s="109">
        <v>0.5</v>
      </c>
      <c r="I95" s="109">
        <v>0.9</v>
      </c>
      <c r="J95" s="113">
        <f t="shared" si="8"/>
        <v>0.5</v>
      </c>
      <c r="K95" s="41" t="s">
        <v>113</v>
      </c>
      <c r="L95" s="41"/>
      <c r="M95" s="130">
        <v>0.5</v>
      </c>
      <c r="N95" s="142">
        <f t="shared" si="9"/>
        <v>1225.1131200000004</v>
      </c>
      <c r="O95" s="128">
        <f t="shared" si="10"/>
        <v>680.61840000000018</v>
      </c>
      <c r="P95" s="159">
        <f t="shared" si="11"/>
        <v>1225.0999999999999</v>
      </c>
      <c r="Q95" s="160">
        <f t="shared" si="12"/>
        <v>680.6</v>
      </c>
    </row>
    <row r="96" spans="1:17" ht="69" thickTop="1" thickBot="1">
      <c r="A96" s="41" t="s">
        <v>114</v>
      </c>
      <c r="B96" s="167">
        <v>1144.7</v>
      </c>
      <c r="C96" s="9" t="s">
        <v>112</v>
      </c>
      <c r="D96" s="10">
        <f>B96/30/50*50</f>
        <v>38.156666666666666</v>
      </c>
      <c r="E96" s="11">
        <v>0.9</v>
      </c>
      <c r="F96" s="27">
        <v>0.9</v>
      </c>
      <c r="G96" s="109">
        <f t="shared" si="7"/>
        <v>0.5</v>
      </c>
      <c r="H96" s="109">
        <v>0.5</v>
      </c>
      <c r="I96" s="109">
        <v>0.9</v>
      </c>
      <c r="J96" s="113">
        <f t="shared" si="8"/>
        <v>0.5</v>
      </c>
      <c r="K96" s="41" t="s">
        <v>113</v>
      </c>
      <c r="L96" s="41"/>
      <c r="M96" s="130">
        <v>0.5</v>
      </c>
      <c r="N96" s="142">
        <f t="shared" si="9"/>
        <v>1269.2433600000002</v>
      </c>
      <c r="O96" s="128">
        <f t="shared" si="10"/>
        <v>705.13520000000005</v>
      </c>
      <c r="P96" s="159">
        <f t="shared" si="11"/>
        <v>1269.2</v>
      </c>
      <c r="Q96" s="160">
        <f t="shared" si="12"/>
        <v>705.1</v>
      </c>
    </row>
    <row r="97" spans="1:17" ht="69" thickTop="1" thickBot="1">
      <c r="A97" s="12" t="s">
        <v>115</v>
      </c>
      <c r="B97" s="166">
        <v>1104.9000000000001</v>
      </c>
      <c r="C97" s="9" t="s">
        <v>112</v>
      </c>
      <c r="D97" s="10">
        <f>B97/30/25*50</f>
        <v>73.660000000000011</v>
      </c>
      <c r="E97" s="11">
        <v>0.9</v>
      </c>
      <c r="F97" s="27">
        <v>0.9</v>
      </c>
      <c r="G97" s="109">
        <f t="shared" si="7"/>
        <v>0.5</v>
      </c>
      <c r="H97" s="109">
        <v>0.5</v>
      </c>
      <c r="I97" s="109">
        <v>0.9</v>
      </c>
      <c r="J97" s="113">
        <f t="shared" si="8"/>
        <v>0.5</v>
      </c>
      <c r="K97" s="12" t="s">
        <v>113</v>
      </c>
      <c r="L97" s="12"/>
      <c r="M97" s="129">
        <v>0.5</v>
      </c>
      <c r="N97" s="142">
        <f t="shared" si="9"/>
        <v>1225.1131200000004</v>
      </c>
      <c r="O97" s="128">
        <f t="shared" si="10"/>
        <v>680.61840000000018</v>
      </c>
      <c r="P97" s="159">
        <f t="shared" si="11"/>
        <v>1225.0999999999999</v>
      </c>
      <c r="Q97" s="160">
        <f t="shared" si="12"/>
        <v>680.6</v>
      </c>
    </row>
    <row r="98" spans="1:17" ht="69" thickTop="1" thickBot="1">
      <c r="A98" s="12" t="s">
        <v>115</v>
      </c>
      <c r="B98" s="167">
        <v>1144.7</v>
      </c>
      <c r="C98" s="9" t="s">
        <v>112</v>
      </c>
      <c r="D98" s="10">
        <f>B98/30/50*50</f>
        <v>38.156666666666666</v>
      </c>
      <c r="E98" s="11">
        <v>0.9</v>
      </c>
      <c r="F98" s="27">
        <v>0.9</v>
      </c>
      <c r="G98" s="109">
        <f t="shared" si="7"/>
        <v>0.5</v>
      </c>
      <c r="H98" s="109">
        <v>0.5</v>
      </c>
      <c r="I98" s="109">
        <v>0.9</v>
      </c>
      <c r="J98" s="113">
        <f t="shared" si="8"/>
        <v>0.5</v>
      </c>
      <c r="K98" s="12" t="s">
        <v>113</v>
      </c>
      <c r="L98" s="12"/>
      <c r="M98" s="129">
        <v>0.5</v>
      </c>
      <c r="N98" s="142">
        <f t="shared" si="9"/>
        <v>1269.2433600000002</v>
      </c>
      <c r="O98" s="128">
        <f t="shared" si="10"/>
        <v>705.13520000000005</v>
      </c>
      <c r="P98" s="159">
        <f t="shared" si="11"/>
        <v>1269.2</v>
      </c>
      <c r="Q98" s="160">
        <f t="shared" si="12"/>
        <v>705.1</v>
      </c>
    </row>
    <row r="99" spans="1:17" ht="69" thickTop="1" thickBot="1">
      <c r="A99" s="12" t="s">
        <v>718</v>
      </c>
      <c r="B99" s="167">
        <v>994.4</v>
      </c>
      <c r="C99" s="9" t="s">
        <v>112</v>
      </c>
      <c r="D99" s="10">
        <f>(B99/30)/25*50</f>
        <v>66.293333333333337</v>
      </c>
      <c r="E99" s="11">
        <v>0.9</v>
      </c>
      <c r="F99" s="27">
        <v>0.9</v>
      </c>
      <c r="G99" s="109">
        <f t="shared" si="7"/>
        <v>0.5</v>
      </c>
      <c r="H99" s="109">
        <v>0.5</v>
      </c>
      <c r="I99" s="109">
        <v>0.9</v>
      </c>
      <c r="J99" s="113">
        <f t="shared" si="8"/>
        <v>0.5</v>
      </c>
      <c r="K99" s="12" t="s">
        <v>113</v>
      </c>
      <c r="L99" s="12"/>
      <c r="M99" s="129">
        <v>0.5</v>
      </c>
      <c r="N99" s="142">
        <f t="shared" si="9"/>
        <v>1102.5907200000001</v>
      </c>
      <c r="O99" s="128">
        <f t="shared" si="10"/>
        <v>612.55040000000008</v>
      </c>
      <c r="P99" s="159">
        <f t="shared" si="11"/>
        <v>1102.5999999999999</v>
      </c>
      <c r="Q99" s="160">
        <f t="shared" si="12"/>
        <v>612.6</v>
      </c>
    </row>
    <row r="100" spans="1:17" ht="69" thickTop="1" thickBot="1">
      <c r="A100" s="12" t="s">
        <v>718</v>
      </c>
      <c r="B100" s="167">
        <v>1030.2</v>
      </c>
      <c r="C100" s="9" t="s">
        <v>112</v>
      </c>
      <c r="D100" s="10">
        <f>(B100/30)/50*50</f>
        <v>34.340000000000003</v>
      </c>
      <c r="E100" s="11">
        <v>0.9</v>
      </c>
      <c r="F100" s="27">
        <v>0.9</v>
      </c>
      <c r="G100" s="109">
        <f t="shared" si="7"/>
        <v>0.5</v>
      </c>
      <c r="H100" s="109">
        <v>0.5</v>
      </c>
      <c r="I100" s="109">
        <v>0.9</v>
      </c>
      <c r="J100" s="113">
        <f t="shared" si="8"/>
        <v>0.5</v>
      </c>
      <c r="K100" s="12" t="s">
        <v>113</v>
      </c>
      <c r="L100" s="12"/>
      <c r="M100" s="129">
        <v>0.5</v>
      </c>
      <c r="N100" s="142">
        <f t="shared" si="9"/>
        <v>1142.2857600000002</v>
      </c>
      <c r="O100" s="128">
        <f t="shared" si="10"/>
        <v>634.60320000000013</v>
      </c>
      <c r="P100" s="159">
        <f t="shared" si="11"/>
        <v>1142.3</v>
      </c>
      <c r="Q100" s="160">
        <f t="shared" si="12"/>
        <v>634.6</v>
      </c>
    </row>
    <row r="101" spans="1:17" ht="24" thickTop="1" thickBot="1">
      <c r="A101" s="12" t="s">
        <v>116</v>
      </c>
      <c r="B101" s="166">
        <v>452.5</v>
      </c>
      <c r="C101" s="10" t="s">
        <v>117</v>
      </c>
      <c r="D101" s="10">
        <f>B101/50/80*160</f>
        <v>18.100000000000001</v>
      </c>
      <c r="E101" s="1">
        <v>0.5</v>
      </c>
      <c r="F101" s="95">
        <v>0.5</v>
      </c>
      <c r="G101" s="109">
        <f t="shared" si="7"/>
        <v>9.9999999999999978E-2</v>
      </c>
      <c r="H101" s="109">
        <v>9.9999999999999978E-2</v>
      </c>
      <c r="I101" s="109">
        <v>0.5</v>
      </c>
      <c r="J101" s="113">
        <f t="shared" si="8"/>
        <v>9.9999999999999978E-2</v>
      </c>
      <c r="K101" s="12" t="s">
        <v>118</v>
      </c>
      <c r="L101" s="12" t="s">
        <v>83</v>
      </c>
      <c r="M101" s="129">
        <v>9.9999999999999978E-2</v>
      </c>
      <c r="N101" s="142">
        <f t="shared" si="9"/>
        <v>278.74000000000007</v>
      </c>
      <c r="O101" s="128">
        <f t="shared" si="10"/>
        <v>55.748000000000005</v>
      </c>
      <c r="P101" s="159">
        <f t="shared" si="11"/>
        <v>278.7</v>
      </c>
      <c r="Q101" s="160">
        <f t="shared" si="12"/>
        <v>55.7</v>
      </c>
    </row>
    <row r="102" spans="1:17" ht="24" thickTop="1" thickBot="1">
      <c r="A102" s="12" t="s">
        <v>119</v>
      </c>
      <c r="B102" s="166">
        <v>137.6</v>
      </c>
      <c r="C102" s="10" t="s">
        <v>120</v>
      </c>
      <c r="D102" s="10">
        <f>B102/30/47.5*142.5</f>
        <v>13.76</v>
      </c>
      <c r="E102" s="1">
        <v>0.4</v>
      </c>
      <c r="F102" s="95">
        <v>0.4</v>
      </c>
      <c r="G102" s="109">
        <f t="shared" si="7"/>
        <v>0.1</v>
      </c>
      <c r="H102" s="109">
        <v>0.1</v>
      </c>
      <c r="I102" s="109">
        <v>0.4</v>
      </c>
      <c r="J102" s="113">
        <f t="shared" si="8"/>
        <v>0.1</v>
      </c>
      <c r="K102" s="12" t="s">
        <v>121</v>
      </c>
      <c r="L102" s="12" t="s">
        <v>122</v>
      </c>
      <c r="M102" s="129">
        <v>0.1</v>
      </c>
      <c r="N102" s="142">
        <f t="shared" si="9"/>
        <v>67.809280000000015</v>
      </c>
      <c r="O102" s="128">
        <f t="shared" si="10"/>
        <v>16.952320000000004</v>
      </c>
      <c r="P102" s="159">
        <f t="shared" si="11"/>
        <v>67.8</v>
      </c>
      <c r="Q102" s="160">
        <f t="shared" si="12"/>
        <v>17</v>
      </c>
    </row>
    <row r="103" spans="1:17" ht="24" thickTop="1" thickBot="1">
      <c r="A103" s="12" t="s">
        <v>119</v>
      </c>
      <c r="B103" s="166">
        <v>251.9</v>
      </c>
      <c r="C103" s="10" t="s">
        <v>120</v>
      </c>
      <c r="D103" s="10">
        <f>B103/30/95*142.5</f>
        <v>12.595000000000001</v>
      </c>
      <c r="E103" s="1">
        <v>0.4</v>
      </c>
      <c r="F103" s="95">
        <v>0.4</v>
      </c>
      <c r="G103" s="109">
        <f t="shared" si="7"/>
        <v>0.1</v>
      </c>
      <c r="H103" s="109">
        <v>0.1</v>
      </c>
      <c r="I103" s="109">
        <v>0.4</v>
      </c>
      <c r="J103" s="113">
        <f t="shared" si="8"/>
        <v>0.1</v>
      </c>
      <c r="K103" s="12" t="s">
        <v>121</v>
      </c>
      <c r="L103" s="12" t="s">
        <v>122</v>
      </c>
      <c r="M103" s="129">
        <v>0.1</v>
      </c>
      <c r="N103" s="142">
        <f t="shared" si="9"/>
        <v>124.13632000000003</v>
      </c>
      <c r="O103" s="128">
        <f t="shared" si="10"/>
        <v>31.034080000000007</v>
      </c>
      <c r="P103" s="159">
        <f t="shared" si="11"/>
        <v>124.1</v>
      </c>
      <c r="Q103" s="160">
        <f t="shared" si="12"/>
        <v>31</v>
      </c>
    </row>
    <row r="104" spans="1:17" thickTop="1" thickBot="1">
      <c r="A104" s="12" t="s">
        <v>123</v>
      </c>
      <c r="B104" s="166">
        <v>300.60000000000002</v>
      </c>
      <c r="C104" s="10" t="s">
        <v>63</v>
      </c>
      <c r="D104" s="10">
        <f>B104/30/5*5</f>
        <v>10.020000000000003</v>
      </c>
      <c r="E104" s="1">
        <v>0.35</v>
      </c>
      <c r="F104" s="95">
        <v>0.35</v>
      </c>
      <c r="G104" s="109">
        <f t="shared" si="7"/>
        <v>0.1</v>
      </c>
      <c r="H104" s="109">
        <v>0.1</v>
      </c>
      <c r="I104" s="109">
        <v>0.35</v>
      </c>
      <c r="J104" s="113">
        <f t="shared" si="8"/>
        <v>0.1</v>
      </c>
      <c r="K104" s="12"/>
      <c r="L104" s="12"/>
      <c r="M104" s="129">
        <v>0.1</v>
      </c>
      <c r="N104" s="142">
        <f t="shared" si="9"/>
        <v>129.61872000000002</v>
      </c>
      <c r="O104" s="128">
        <f t="shared" si="10"/>
        <v>37.033920000000009</v>
      </c>
      <c r="P104" s="159">
        <f t="shared" si="11"/>
        <v>129.6</v>
      </c>
      <c r="Q104" s="160">
        <f t="shared" si="12"/>
        <v>37</v>
      </c>
    </row>
    <row r="105" spans="1:17" thickTop="1" thickBot="1">
      <c r="A105" s="12" t="s">
        <v>124</v>
      </c>
      <c r="B105" s="166">
        <v>300.60000000000002</v>
      </c>
      <c r="C105" s="10" t="s">
        <v>63</v>
      </c>
      <c r="D105" s="10">
        <f>B105/30/5*5</f>
        <v>10.020000000000003</v>
      </c>
      <c r="E105" s="1">
        <v>0.35</v>
      </c>
      <c r="F105" s="95">
        <v>0.35</v>
      </c>
      <c r="G105" s="109">
        <f t="shared" si="7"/>
        <v>0.1</v>
      </c>
      <c r="H105" s="109">
        <v>0.1</v>
      </c>
      <c r="I105" s="109">
        <v>0.35</v>
      </c>
      <c r="J105" s="113">
        <f t="shared" si="8"/>
        <v>0.1</v>
      </c>
      <c r="K105" s="12"/>
      <c r="L105" s="12"/>
      <c r="M105" s="129">
        <v>0.1</v>
      </c>
      <c r="N105" s="142">
        <f t="shared" si="9"/>
        <v>129.61872000000002</v>
      </c>
      <c r="O105" s="128">
        <f t="shared" si="10"/>
        <v>37.033920000000009</v>
      </c>
      <c r="P105" s="159">
        <f t="shared" si="11"/>
        <v>129.6</v>
      </c>
      <c r="Q105" s="160">
        <f t="shared" si="12"/>
        <v>37</v>
      </c>
    </row>
    <row r="106" spans="1:17" thickTop="1" thickBot="1">
      <c r="A106" s="12" t="s">
        <v>125</v>
      </c>
      <c r="B106" s="166">
        <v>300.60000000000002</v>
      </c>
      <c r="C106" s="10" t="s">
        <v>63</v>
      </c>
      <c r="D106" s="10">
        <f>B106/30/5*5</f>
        <v>10.020000000000003</v>
      </c>
      <c r="E106" s="1">
        <v>0.35</v>
      </c>
      <c r="F106" s="95">
        <v>0.35</v>
      </c>
      <c r="G106" s="109">
        <f t="shared" si="7"/>
        <v>0.1</v>
      </c>
      <c r="H106" s="109">
        <v>0.1</v>
      </c>
      <c r="I106" s="109">
        <v>0.35</v>
      </c>
      <c r="J106" s="113">
        <f t="shared" si="8"/>
        <v>0.1</v>
      </c>
      <c r="K106" s="54"/>
      <c r="L106" s="12"/>
      <c r="M106" s="129">
        <v>0.1</v>
      </c>
      <c r="N106" s="142">
        <f t="shared" si="9"/>
        <v>129.61872000000002</v>
      </c>
      <c r="O106" s="128">
        <f t="shared" si="10"/>
        <v>37.033920000000009</v>
      </c>
      <c r="P106" s="159">
        <f t="shared" si="11"/>
        <v>129.6</v>
      </c>
      <c r="Q106" s="160">
        <f t="shared" si="12"/>
        <v>37</v>
      </c>
    </row>
    <row r="107" spans="1:17" thickTop="1" thickBot="1">
      <c r="A107" s="12" t="s">
        <v>126</v>
      </c>
      <c r="B107" s="166">
        <v>364.7</v>
      </c>
      <c r="C107" s="10" t="s">
        <v>63</v>
      </c>
      <c r="D107" s="10">
        <f>B107/28/5*5</f>
        <v>13.025</v>
      </c>
      <c r="E107" s="1">
        <v>0.5</v>
      </c>
      <c r="F107" s="95">
        <v>0.5</v>
      </c>
      <c r="G107" s="109">
        <f t="shared" si="7"/>
        <v>9.9999999999999978E-2</v>
      </c>
      <c r="H107" s="109">
        <v>9.9999999999999978E-2</v>
      </c>
      <c r="I107" s="109">
        <v>0.5</v>
      </c>
      <c r="J107" s="113">
        <f t="shared" si="8"/>
        <v>9.9999999999999978E-2</v>
      </c>
      <c r="K107" s="54"/>
      <c r="L107" s="12"/>
      <c r="M107" s="129">
        <v>9.9999999999999978E-2</v>
      </c>
      <c r="N107" s="142">
        <f t="shared" si="9"/>
        <v>224.65520000000001</v>
      </c>
      <c r="O107" s="128">
        <f t="shared" si="10"/>
        <v>44.931039999999996</v>
      </c>
      <c r="P107" s="159">
        <f t="shared" si="11"/>
        <v>224.7</v>
      </c>
      <c r="Q107" s="160">
        <f t="shared" si="12"/>
        <v>44.9</v>
      </c>
    </row>
    <row r="108" spans="1:17" thickTop="1" thickBot="1">
      <c r="A108" s="12" t="s">
        <v>127</v>
      </c>
      <c r="B108" s="166">
        <v>300.60000000000002</v>
      </c>
      <c r="C108" s="10" t="s">
        <v>63</v>
      </c>
      <c r="D108" s="10">
        <f>+B108/30/5*5</f>
        <v>10.020000000000003</v>
      </c>
      <c r="E108" s="1">
        <v>0.35</v>
      </c>
      <c r="F108" s="95">
        <v>0.35</v>
      </c>
      <c r="G108" s="109">
        <f t="shared" si="7"/>
        <v>0.1</v>
      </c>
      <c r="H108" s="109">
        <v>0.1</v>
      </c>
      <c r="I108" s="109">
        <v>0.35</v>
      </c>
      <c r="J108" s="113">
        <f t="shared" si="8"/>
        <v>0.1</v>
      </c>
      <c r="K108" s="54"/>
      <c r="L108" s="12"/>
      <c r="M108" s="129">
        <v>0.1</v>
      </c>
      <c r="N108" s="142">
        <f t="shared" si="9"/>
        <v>129.61872000000002</v>
      </c>
      <c r="O108" s="128">
        <f t="shared" si="10"/>
        <v>37.033920000000009</v>
      </c>
      <c r="P108" s="159">
        <f t="shared" si="11"/>
        <v>129.6</v>
      </c>
      <c r="Q108" s="160">
        <f t="shared" si="12"/>
        <v>37</v>
      </c>
    </row>
    <row r="109" spans="1:17" thickTop="1" thickBot="1">
      <c r="A109" s="41" t="s">
        <v>128</v>
      </c>
      <c r="B109" s="167">
        <v>280.60000000000002</v>
      </c>
      <c r="C109" s="9" t="s">
        <v>63</v>
      </c>
      <c r="D109" s="10">
        <f>B109/28/5*5</f>
        <v>10.021428571428572</v>
      </c>
      <c r="E109" s="42">
        <v>0.35</v>
      </c>
      <c r="F109" s="97">
        <v>0.35</v>
      </c>
      <c r="G109" s="109">
        <f t="shared" si="7"/>
        <v>0.1</v>
      </c>
      <c r="H109" s="109">
        <v>0.1</v>
      </c>
      <c r="I109" s="109">
        <v>0.35</v>
      </c>
      <c r="J109" s="113">
        <f t="shared" si="8"/>
        <v>0.1</v>
      </c>
      <c r="K109" s="55"/>
      <c r="L109" s="41"/>
      <c r="M109" s="130">
        <v>0.1</v>
      </c>
      <c r="N109" s="142">
        <f t="shared" si="9"/>
        <v>120.99472000000004</v>
      </c>
      <c r="O109" s="128">
        <f t="shared" si="10"/>
        <v>34.56992000000001</v>
      </c>
      <c r="P109" s="159">
        <f t="shared" si="11"/>
        <v>121</v>
      </c>
      <c r="Q109" s="160">
        <f t="shared" si="12"/>
        <v>34.6</v>
      </c>
    </row>
    <row r="110" spans="1:17" thickTop="1" thickBot="1">
      <c r="A110" s="41" t="s">
        <v>129</v>
      </c>
      <c r="B110" s="167">
        <v>280.60000000000002</v>
      </c>
      <c r="C110" s="9" t="s">
        <v>63</v>
      </c>
      <c r="D110" s="10">
        <f>B110/28/5*5</f>
        <v>10.021428571428572</v>
      </c>
      <c r="E110" s="42">
        <v>0.35</v>
      </c>
      <c r="F110" s="97">
        <v>0.35</v>
      </c>
      <c r="G110" s="109">
        <f t="shared" si="7"/>
        <v>0.1</v>
      </c>
      <c r="H110" s="109">
        <v>0.1</v>
      </c>
      <c r="I110" s="109">
        <v>0.35</v>
      </c>
      <c r="J110" s="113">
        <f t="shared" si="8"/>
        <v>0.1</v>
      </c>
      <c r="K110" s="55"/>
      <c r="L110" s="41"/>
      <c r="M110" s="130">
        <v>0.1</v>
      </c>
      <c r="N110" s="142">
        <f t="shared" si="9"/>
        <v>120.99472000000004</v>
      </c>
      <c r="O110" s="128">
        <f t="shared" si="10"/>
        <v>34.56992000000001</v>
      </c>
      <c r="P110" s="159">
        <f t="shared" si="11"/>
        <v>121</v>
      </c>
      <c r="Q110" s="160">
        <f t="shared" si="12"/>
        <v>34.6</v>
      </c>
    </row>
    <row r="111" spans="1:17" thickTop="1" thickBot="1">
      <c r="A111" s="12" t="s">
        <v>130</v>
      </c>
      <c r="B111" s="166">
        <v>300.60000000000002</v>
      </c>
      <c r="C111" s="10" t="s">
        <v>63</v>
      </c>
      <c r="D111" s="10">
        <f>B111/30/5*5</f>
        <v>10.020000000000003</v>
      </c>
      <c r="E111" s="11">
        <v>0.35</v>
      </c>
      <c r="F111" s="27">
        <v>0.35</v>
      </c>
      <c r="G111" s="109">
        <f t="shared" si="7"/>
        <v>0.1</v>
      </c>
      <c r="H111" s="109">
        <v>0.1</v>
      </c>
      <c r="I111" s="109">
        <v>0.35</v>
      </c>
      <c r="J111" s="113">
        <f t="shared" si="8"/>
        <v>0.1</v>
      </c>
      <c r="K111" s="54"/>
      <c r="L111" s="12"/>
      <c r="M111" s="129">
        <v>0.1</v>
      </c>
      <c r="N111" s="142">
        <f t="shared" si="9"/>
        <v>129.61872000000002</v>
      </c>
      <c r="O111" s="128">
        <f t="shared" si="10"/>
        <v>37.033920000000009</v>
      </c>
      <c r="P111" s="159">
        <f t="shared" si="11"/>
        <v>129.6</v>
      </c>
      <c r="Q111" s="160">
        <f t="shared" si="12"/>
        <v>37</v>
      </c>
    </row>
    <row r="112" spans="1:17" ht="24" thickTop="1" thickBot="1">
      <c r="A112" s="12" t="s">
        <v>134</v>
      </c>
      <c r="B112" s="166">
        <v>135.4</v>
      </c>
      <c r="C112" s="10" t="s">
        <v>135</v>
      </c>
      <c r="D112" s="10">
        <f>B112/30/12.5*37.5</f>
        <v>13.540000000000001</v>
      </c>
      <c r="E112" s="1">
        <v>0.5</v>
      </c>
      <c r="F112" s="95">
        <v>0.5</v>
      </c>
      <c r="G112" s="109">
        <f t="shared" si="7"/>
        <v>9.9999999999999978E-2</v>
      </c>
      <c r="H112" s="109">
        <v>9.9999999999999978E-2</v>
      </c>
      <c r="I112" s="109">
        <v>0.5</v>
      </c>
      <c r="J112" s="113">
        <f t="shared" si="8"/>
        <v>9.9999999999999978E-2</v>
      </c>
      <c r="K112" s="12" t="s">
        <v>132</v>
      </c>
      <c r="L112" s="12" t="s">
        <v>133</v>
      </c>
      <c r="M112" s="129">
        <v>9.9999999999999978E-2</v>
      </c>
      <c r="N112" s="142">
        <f t="shared" si="9"/>
        <v>83.406400000000019</v>
      </c>
      <c r="O112" s="128">
        <f t="shared" si="10"/>
        <v>16.681279999999997</v>
      </c>
      <c r="P112" s="159">
        <f t="shared" si="11"/>
        <v>83.4</v>
      </c>
      <c r="Q112" s="160">
        <f t="shared" si="12"/>
        <v>16.7</v>
      </c>
    </row>
    <row r="113" spans="1:17" ht="24" thickTop="1" thickBot="1">
      <c r="A113" s="12" t="s">
        <v>134</v>
      </c>
      <c r="B113" s="166">
        <v>208.8</v>
      </c>
      <c r="C113" s="10" t="s">
        <v>135</v>
      </c>
      <c r="D113" s="10">
        <f>B113/30/25*37.5</f>
        <v>10.44</v>
      </c>
      <c r="E113" s="1">
        <v>0.5</v>
      </c>
      <c r="F113" s="95">
        <v>0.5</v>
      </c>
      <c r="G113" s="109">
        <f t="shared" si="7"/>
        <v>9.9999999999999978E-2</v>
      </c>
      <c r="H113" s="109">
        <v>9.9999999999999978E-2</v>
      </c>
      <c r="I113" s="109">
        <v>0.5</v>
      </c>
      <c r="J113" s="113">
        <f t="shared" si="8"/>
        <v>9.9999999999999978E-2</v>
      </c>
      <c r="K113" s="12" t="s">
        <v>132</v>
      </c>
      <c r="L113" s="12" t="s">
        <v>133</v>
      </c>
      <c r="M113" s="129">
        <v>9.9999999999999978E-2</v>
      </c>
      <c r="N113" s="142">
        <f t="shared" si="9"/>
        <v>128.62080000000003</v>
      </c>
      <c r="O113" s="128">
        <f t="shared" si="10"/>
        <v>25.724159999999998</v>
      </c>
      <c r="P113" s="159">
        <f t="shared" si="11"/>
        <v>128.6</v>
      </c>
      <c r="Q113" s="160">
        <f t="shared" si="12"/>
        <v>25.7</v>
      </c>
    </row>
    <row r="114" spans="1:17" ht="24" thickTop="1" thickBot="1">
      <c r="A114" s="12" t="s">
        <v>136</v>
      </c>
      <c r="B114" s="166">
        <v>126.4</v>
      </c>
      <c r="C114" s="10" t="s">
        <v>131</v>
      </c>
      <c r="D114" s="10">
        <f>B114/28/12.5*37.5</f>
        <v>13.542857142857143</v>
      </c>
      <c r="E114" s="11">
        <v>0.5</v>
      </c>
      <c r="F114" s="27">
        <v>0.5</v>
      </c>
      <c r="G114" s="109">
        <f t="shared" si="7"/>
        <v>9.9999999999999978E-2</v>
      </c>
      <c r="H114" s="109">
        <v>9.9999999999999978E-2</v>
      </c>
      <c r="I114" s="109">
        <v>0.5</v>
      </c>
      <c r="J114" s="113">
        <f t="shared" si="8"/>
        <v>9.9999999999999978E-2</v>
      </c>
      <c r="K114" s="12" t="s">
        <v>132</v>
      </c>
      <c r="L114" s="12" t="s">
        <v>133</v>
      </c>
      <c r="M114" s="129">
        <v>9.9999999999999978E-2</v>
      </c>
      <c r="N114" s="142">
        <f t="shared" si="9"/>
        <v>77.862400000000008</v>
      </c>
      <c r="O114" s="128">
        <f t="shared" si="10"/>
        <v>15.572480000000001</v>
      </c>
      <c r="P114" s="159">
        <f t="shared" si="11"/>
        <v>77.900000000000006</v>
      </c>
      <c r="Q114" s="160">
        <f t="shared" si="12"/>
        <v>15.6</v>
      </c>
    </row>
    <row r="115" spans="1:17" ht="24" thickTop="1" thickBot="1">
      <c r="A115" s="12" t="s">
        <v>137</v>
      </c>
      <c r="B115" s="166">
        <v>135.4</v>
      </c>
      <c r="C115" s="10" t="s">
        <v>131</v>
      </c>
      <c r="D115" s="10">
        <f>B115/30/12.5*37.5</f>
        <v>13.540000000000001</v>
      </c>
      <c r="E115" s="1">
        <v>0.5</v>
      </c>
      <c r="F115" s="95">
        <v>0.5</v>
      </c>
      <c r="G115" s="109">
        <f t="shared" si="7"/>
        <v>9.9999999999999978E-2</v>
      </c>
      <c r="H115" s="109">
        <v>9.9999999999999978E-2</v>
      </c>
      <c r="I115" s="109">
        <v>0.5</v>
      </c>
      <c r="J115" s="113">
        <f t="shared" si="8"/>
        <v>9.9999999999999978E-2</v>
      </c>
      <c r="K115" s="12" t="s">
        <v>132</v>
      </c>
      <c r="L115" s="12" t="s">
        <v>133</v>
      </c>
      <c r="M115" s="129">
        <v>9.9999999999999978E-2</v>
      </c>
      <c r="N115" s="142">
        <f t="shared" si="9"/>
        <v>83.406400000000019</v>
      </c>
      <c r="O115" s="128">
        <f t="shared" si="10"/>
        <v>16.681279999999997</v>
      </c>
      <c r="P115" s="159">
        <f t="shared" si="11"/>
        <v>83.4</v>
      </c>
      <c r="Q115" s="160">
        <f t="shared" si="12"/>
        <v>16.7</v>
      </c>
    </row>
    <row r="116" spans="1:17" ht="24" thickTop="1" thickBot="1">
      <c r="A116" s="12" t="s">
        <v>137</v>
      </c>
      <c r="B116" s="166">
        <v>208.8</v>
      </c>
      <c r="C116" s="10" t="s">
        <v>131</v>
      </c>
      <c r="D116" s="10">
        <f>B116/30/25*37.5</f>
        <v>10.44</v>
      </c>
      <c r="E116" s="1">
        <v>0.5</v>
      </c>
      <c r="F116" s="95">
        <v>0.5</v>
      </c>
      <c r="G116" s="109">
        <f t="shared" si="7"/>
        <v>9.9999999999999978E-2</v>
      </c>
      <c r="H116" s="109">
        <v>9.9999999999999978E-2</v>
      </c>
      <c r="I116" s="109">
        <v>0.5</v>
      </c>
      <c r="J116" s="113">
        <f t="shared" si="8"/>
        <v>9.9999999999999978E-2</v>
      </c>
      <c r="K116" s="12" t="s">
        <v>132</v>
      </c>
      <c r="L116" s="12" t="s">
        <v>133</v>
      </c>
      <c r="M116" s="129">
        <v>9.9999999999999978E-2</v>
      </c>
      <c r="N116" s="142">
        <f t="shared" si="9"/>
        <v>128.62080000000003</v>
      </c>
      <c r="O116" s="128">
        <f t="shared" si="10"/>
        <v>25.724159999999998</v>
      </c>
      <c r="P116" s="159">
        <f t="shared" si="11"/>
        <v>128.6</v>
      </c>
      <c r="Q116" s="160">
        <f t="shared" si="12"/>
        <v>25.7</v>
      </c>
    </row>
    <row r="117" spans="1:17" ht="24" thickTop="1" thickBot="1">
      <c r="A117" s="12" t="s">
        <v>138</v>
      </c>
      <c r="B117" s="167">
        <v>135.4</v>
      </c>
      <c r="C117" s="10" t="s">
        <v>135</v>
      </c>
      <c r="D117" s="10">
        <f>+(B117/30)/12.5*37.5</f>
        <v>13.540000000000001</v>
      </c>
      <c r="E117" s="1">
        <v>0.5</v>
      </c>
      <c r="F117" s="95">
        <v>0.5</v>
      </c>
      <c r="G117" s="109">
        <f t="shared" si="7"/>
        <v>9.9999999999999978E-2</v>
      </c>
      <c r="H117" s="109">
        <v>9.9999999999999978E-2</v>
      </c>
      <c r="I117" s="109">
        <v>0.5</v>
      </c>
      <c r="J117" s="113">
        <f t="shared" si="8"/>
        <v>9.9999999999999978E-2</v>
      </c>
      <c r="K117" s="12" t="s">
        <v>132</v>
      </c>
      <c r="L117" s="12" t="s">
        <v>133</v>
      </c>
      <c r="M117" s="129">
        <v>9.9999999999999978E-2</v>
      </c>
      <c r="N117" s="142">
        <f t="shared" si="9"/>
        <v>83.406400000000019</v>
      </c>
      <c r="O117" s="128">
        <f t="shared" si="10"/>
        <v>16.681279999999997</v>
      </c>
      <c r="P117" s="159">
        <f t="shared" si="11"/>
        <v>83.4</v>
      </c>
      <c r="Q117" s="160">
        <f t="shared" si="12"/>
        <v>16.7</v>
      </c>
    </row>
    <row r="118" spans="1:17" ht="46.5" thickTop="1" thickBot="1">
      <c r="A118" s="12" t="s">
        <v>139</v>
      </c>
      <c r="B118" s="166">
        <v>397.2</v>
      </c>
      <c r="C118" s="10" t="s">
        <v>74</v>
      </c>
      <c r="D118" s="10">
        <f>+B118/28</f>
        <v>14.185714285714285</v>
      </c>
      <c r="E118" s="1">
        <v>0.55000000000000004</v>
      </c>
      <c r="F118" s="95">
        <v>0.55000000000000004</v>
      </c>
      <c r="G118" s="109">
        <f t="shared" si="7"/>
        <v>0.15000000000000002</v>
      </c>
      <c r="H118" s="109">
        <v>0.15000000000000002</v>
      </c>
      <c r="I118" s="109">
        <v>0.55000000000000004</v>
      </c>
      <c r="J118" s="113">
        <f t="shared" si="8"/>
        <v>0.15000000000000002</v>
      </c>
      <c r="K118" s="12" t="s">
        <v>140</v>
      </c>
      <c r="L118" s="12"/>
      <c r="M118" s="129">
        <v>0.15000000000000002</v>
      </c>
      <c r="N118" s="142">
        <f t="shared" si="9"/>
        <v>269.14272000000005</v>
      </c>
      <c r="O118" s="128">
        <f t="shared" si="10"/>
        <v>73.402560000000022</v>
      </c>
      <c r="P118" s="159">
        <f t="shared" si="11"/>
        <v>269.10000000000002</v>
      </c>
      <c r="Q118" s="160">
        <f t="shared" si="12"/>
        <v>73.400000000000006</v>
      </c>
    </row>
    <row r="119" spans="1:17" ht="46.5" thickTop="1" thickBot="1">
      <c r="A119" s="12" t="s">
        <v>141</v>
      </c>
      <c r="B119" s="166">
        <v>327.39999999999998</v>
      </c>
      <c r="C119" s="10" t="s">
        <v>74</v>
      </c>
      <c r="D119" s="10">
        <f>B119/30</f>
        <v>10.913333333333332</v>
      </c>
      <c r="E119" s="1">
        <v>0.45</v>
      </c>
      <c r="F119" s="95">
        <v>0.45</v>
      </c>
      <c r="G119" s="109">
        <f t="shared" si="7"/>
        <v>0.1</v>
      </c>
      <c r="H119" s="109">
        <v>0.1</v>
      </c>
      <c r="I119" s="109">
        <v>0.45</v>
      </c>
      <c r="J119" s="113">
        <f t="shared" si="8"/>
        <v>0.1</v>
      </c>
      <c r="K119" s="12" t="s">
        <v>142</v>
      </c>
      <c r="L119" s="12"/>
      <c r="M119" s="129">
        <v>0.1</v>
      </c>
      <c r="N119" s="142">
        <f t="shared" si="9"/>
        <v>181.51056000000003</v>
      </c>
      <c r="O119" s="128">
        <f t="shared" si="10"/>
        <v>40.335680000000011</v>
      </c>
      <c r="P119" s="159">
        <f t="shared" si="11"/>
        <v>181.5</v>
      </c>
      <c r="Q119" s="160">
        <f t="shared" si="12"/>
        <v>40.299999999999997</v>
      </c>
    </row>
    <row r="120" spans="1:17" ht="46.5" thickTop="1" thickBot="1">
      <c r="A120" s="12" t="s">
        <v>141</v>
      </c>
      <c r="B120" s="166">
        <v>352</v>
      </c>
      <c r="C120" s="10" t="s">
        <v>74</v>
      </c>
      <c r="D120" s="10">
        <f>B120/30</f>
        <v>11.733333333333333</v>
      </c>
      <c r="E120" s="1">
        <v>0.45</v>
      </c>
      <c r="F120" s="95">
        <v>0.45</v>
      </c>
      <c r="G120" s="109">
        <f t="shared" si="7"/>
        <v>0.1</v>
      </c>
      <c r="H120" s="109">
        <v>0.1</v>
      </c>
      <c r="I120" s="109">
        <v>0.45</v>
      </c>
      <c r="J120" s="113">
        <f t="shared" si="8"/>
        <v>0.1</v>
      </c>
      <c r="K120" s="12" t="s">
        <v>142</v>
      </c>
      <c r="L120" s="12"/>
      <c r="M120" s="129">
        <v>0.1</v>
      </c>
      <c r="N120" s="142">
        <f t="shared" si="9"/>
        <v>195.14880000000002</v>
      </c>
      <c r="O120" s="128">
        <f t="shared" si="10"/>
        <v>43.366400000000013</v>
      </c>
      <c r="P120" s="159">
        <f t="shared" si="11"/>
        <v>195.1</v>
      </c>
      <c r="Q120" s="160">
        <f t="shared" si="12"/>
        <v>43.4</v>
      </c>
    </row>
    <row r="121" spans="1:17" ht="24" thickTop="1" thickBot="1">
      <c r="A121" s="12" t="s">
        <v>143</v>
      </c>
      <c r="B121" s="166">
        <v>204.2</v>
      </c>
      <c r="C121" s="9" t="s">
        <v>63</v>
      </c>
      <c r="D121" s="10">
        <f>B121/30/5*5</f>
        <v>6.8066666666666666</v>
      </c>
      <c r="E121" s="1">
        <v>0.35</v>
      </c>
      <c r="F121" s="95">
        <v>0.35</v>
      </c>
      <c r="G121" s="109">
        <f t="shared" si="7"/>
        <v>0.1</v>
      </c>
      <c r="H121" s="109">
        <v>0.1</v>
      </c>
      <c r="I121" s="109">
        <v>0.35</v>
      </c>
      <c r="J121" s="113">
        <f t="shared" si="8"/>
        <v>0.1</v>
      </c>
      <c r="K121" s="12" t="s">
        <v>144</v>
      </c>
      <c r="L121" s="12"/>
      <c r="M121" s="129">
        <v>0.1</v>
      </c>
      <c r="N121" s="142">
        <f t="shared" si="9"/>
        <v>88.05104</v>
      </c>
      <c r="O121" s="128">
        <f t="shared" si="10"/>
        <v>25.157440000000005</v>
      </c>
      <c r="P121" s="159">
        <f t="shared" si="11"/>
        <v>88.1</v>
      </c>
      <c r="Q121" s="160">
        <f t="shared" si="12"/>
        <v>25.2</v>
      </c>
    </row>
    <row r="122" spans="1:17" thickTop="1" thickBot="1">
      <c r="A122" s="56" t="s">
        <v>145</v>
      </c>
      <c r="B122" s="168">
        <v>151.5</v>
      </c>
      <c r="C122" s="10" t="s">
        <v>92</v>
      </c>
      <c r="D122" s="10">
        <f>B122/28/10*10</f>
        <v>5.4107142857142856</v>
      </c>
      <c r="E122" s="11">
        <v>0.55000000000000004</v>
      </c>
      <c r="F122" s="27">
        <v>0.55000000000000004</v>
      </c>
      <c r="G122" s="109">
        <f t="shared" si="7"/>
        <v>0.15000000000000002</v>
      </c>
      <c r="H122" s="109">
        <v>0.15000000000000002</v>
      </c>
      <c r="I122" s="109">
        <v>0.55000000000000004</v>
      </c>
      <c r="J122" s="113">
        <f t="shared" si="8"/>
        <v>0.15000000000000002</v>
      </c>
      <c r="K122" s="12" t="s">
        <v>146</v>
      </c>
      <c r="L122" s="12"/>
      <c r="M122" s="129">
        <v>0.15000000000000002</v>
      </c>
      <c r="N122" s="142">
        <f t="shared" si="9"/>
        <v>102.65640000000002</v>
      </c>
      <c r="O122" s="128">
        <f t="shared" si="10"/>
        <v>27.997200000000014</v>
      </c>
      <c r="P122" s="159">
        <f t="shared" si="11"/>
        <v>102.7</v>
      </c>
      <c r="Q122" s="160">
        <f t="shared" si="12"/>
        <v>28</v>
      </c>
    </row>
    <row r="123" spans="1:17" thickTop="1" thickBot="1">
      <c r="A123" s="56" t="s">
        <v>145</v>
      </c>
      <c r="B123" s="168">
        <v>287.89999999999998</v>
      </c>
      <c r="C123" s="10" t="s">
        <v>92</v>
      </c>
      <c r="D123" s="10">
        <f>B123/28/20*10</f>
        <v>5.1410714285714292</v>
      </c>
      <c r="E123" s="11">
        <v>0.55000000000000004</v>
      </c>
      <c r="F123" s="27">
        <v>0.55000000000000004</v>
      </c>
      <c r="G123" s="109">
        <f t="shared" si="7"/>
        <v>0.15000000000000002</v>
      </c>
      <c r="H123" s="109">
        <v>0.15000000000000002</v>
      </c>
      <c r="I123" s="109">
        <v>0.55000000000000004</v>
      </c>
      <c r="J123" s="113">
        <f t="shared" si="8"/>
        <v>0.15000000000000002</v>
      </c>
      <c r="K123" s="12" t="s">
        <v>146</v>
      </c>
      <c r="L123" s="12"/>
      <c r="M123" s="129">
        <v>0.15000000000000002</v>
      </c>
      <c r="N123" s="142">
        <f t="shared" si="9"/>
        <v>195.08104000000003</v>
      </c>
      <c r="O123" s="128">
        <f t="shared" si="10"/>
        <v>53.203920000000011</v>
      </c>
      <c r="P123" s="159">
        <f t="shared" si="11"/>
        <v>195.1</v>
      </c>
      <c r="Q123" s="160">
        <f t="shared" si="12"/>
        <v>53.2</v>
      </c>
    </row>
    <row r="124" spans="1:17" thickTop="1" thickBot="1">
      <c r="A124" s="56" t="s">
        <v>145</v>
      </c>
      <c r="B124" s="168">
        <v>324.60000000000002</v>
      </c>
      <c r="C124" s="10" t="s">
        <v>92</v>
      </c>
      <c r="D124" s="10">
        <f>B124/60/10*10</f>
        <v>5.41</v>
      </c>
      <c r="E124" s="11">
        <v>0.55000000000000004</v>
      </c>
      <c r="F124" s="27">
        <v>0.55000000000000004</v>
      </c>
      <c r="G124" s="109">
        <f t="shared" si="7"/>
        <v>0.15000000000000002</v>
      </c>
      <c r="H124" s="109">
        <v>0.15000000000000002</v>
      </c>
      <c r="I124" s="109">
        <v>0.55000000000000004</v>
      </c>
      <c r="J124" s="113">
        <f t="shared" si="8"/>
        <v>0.15000000000000002</v>
      </c>
      <c r="K124" s="12" t="s">
        <v>146</v>
      </c>
      <c r="L124" s="12"/>
      <c r="M124" s="129">
        <v>0.15000000000000002</v>
      </c>
      <c r="N124" s="142">
        <f t="shared" si="9"/>
        <v>219.94896000000008</v>
      </c>
      <c r="O124" s="128">
        <f t="shared" si="10"/>
        <v>59.986080000000022</v>
      </c>
      <c r="P124" s="159">
        <f t="shared" si="11"/>
        <v>219.9</v>
      </c>
      <c r="Q124" s="160">
        <f t="shared" si="12"/>
        <v>60</v>
      </c>
    </row>
    <row r="125" spans="1:17" thickTop="1" thickBot="1">
      <c r="A125" s="56" t="s">
        <v>145</v>
      </c>
      <c r="B125" s="168">
        <v>617</v>
      </c>
      <c r="C125" s="10" t="s">
        <v>92</v>
      </c>
      <c r="D125" s="10">
        <f>B125/60/20*10</f>
        <v>5.1416666666666666</v>
      </c>
      <c r="E125" s="11">
        <v>0.55000000000000004</v>
      </c>
      <c r="F125" s="27">
        <v>0.55000000000000004</v>
      </c>
      <c r="G125" s="109">
        <f t="shared" si="7"/>
        <v>0.15000000000000002</v>
      </c>
      <c r="H125" s="109">
        <v>0.15000000000000002</v>
      </c>
      <c r="I125" s="109">
        <v>0.55000000000000004</v>
      </c>
      <c r="J125" s="113">
        <f t="shared" si="8"/>
        <v>0.15000000000000002</v>
      </c>
      <c r="K125" s="12" t="s">
        <v>146</v>
      </c>
      <c r="L125" s="12"/>
      <c r="M125" s="129">
        <v>0.15000000000000002</v>
      </c>
      <c r="N125" s="142">
        <f t="shared" si="9"/>
        <v>418.07920000000007</v>
      </c>
      <c r="O125" s="128">
        <f t="shared" si="10"/>
        <v>114.02160000000003</v>
      </c>
      <c r="P125" s="159">
        <f t="shared" si="11"/>
        <v>418.1</v>
      </c>
      <c r="Q125" s="160">
        <f t="shared" si="12"/>
        <v>114</v>
      </c>
    </row>
    <row r="126" spans="1:17" thickTop="1" thickBot="1">
      <c r="A126" s="12" t="s">
        <v>147</v>
      </c>
      <c r="B126" s="166">
        <v>338.8</v>
      </c>
      <c r="C126" s="10" t="s">
        <v>103</v>
      </c>
      <c r="D126" s="10">
        <f>B126/30/5*4</f>
        <v>9.0346666666666664</v>
      </c>
      <c r="E126" s="11">
        <v>0.45</v>
      </c>
      <c r="F126" s="27">
        <v>0.45</v>
      </c>
      <c r="G126" s="109">
        <f t="shared" si="7"/>
        <v>0.1</v>
      </c>
      <c r="H126" s="109">
        <v>0.1</v>
      </c>
      <c r="I126" s="109">
        <v>0.45</v>
      </c>
      <c r="J126" s="113">
        <f t="shared" si="8"/>
        <v>0.1</v>
      </c>
      <c r="K126" s="12"/>
      <c r="L126" s="12"/>
      <c r="M126" s="129">
        <v>0.1</v>
      </c>
      <c r="N126" s="142">
        <f t="shared" si="9"/>
        <v>187.83072000000004</v>
      </c>
      <c r="O126" s="128">
        <f t="shared" si="10"/>
        <v>41.74016000000001</v>
      </c>
      <c r="P126" s="159">
        <f t="shared" si="11"/>
        <v>187.8</v>
      </c>
      <c r="Q126" s="160">
        <f t="shared" si="12"/>
        <v>41.7</v>
      </c>
    </row>
    <row r="127" spans="1:17" thickTop="1" thickBot="1">
      <c r="A127" s="12" t="s">
        <v>147</v>
      </c>
      <c r="B127" s="166">
        <v>338.8</v>
      </c>
      <c r="C127" s="10" t="s">
        <v>103</v>
      </c>
      <c r="D127" s="10">
        <f>B127/30/10*4</f>
        <v>4.5173333333333332</v>
      </c>
      <c r="E127" s="11">
        <v>0.4</v>
      </c>
      <c r="F127" s="27">
        <v>0.4</v>
      </c>
      <c r="G127" s="109">
        <f t="shared" si="7"/>
        <v>0.1</v>
      </c>
      <c r="H127" s="109">
        <v>0.1</v>
      </c>
      <c r="I127" s="109">
        <v>0.4</v>
      </c>
      <c r="J127" s="113">
        <f t="shared" si="8"/>
        <v>0.1</v>
      </c>
      <c r="K127" s="12"/>
      <c r="L127" s="12"/>
      <c r="M127" s="129">
        <v>0.1</v>
      </c>
      <c r="N127" s="142">
        <f t="shared" si="9"/>
        <v>166.96064000000004</v>
      </c>
      <c r="O127" s="128">
        <f t="shared" si="10"/>
        <v>41.74016000000001</v>
      </c>
      <c r="P127" s="159">
        <f t="shared" si="11"/>
        <v>167</v>
      </c>
      <c r="Q127" s="160">
        <f t="shared" si="12"/>
        <v>41.7</v>
      </c>
    </row>
    <row r="128" spans="1:17" thickTop="1" thickBot="1">
      <c r="A128" s="12" t="s">
        <v>148</v>
      </c>
      <c r="B128" s="166">
        <v>144.5</v>
      </c>
      <c r="C128" s="10" t="s">
        <v>103</v>
      </c>
      <c r="D128" s="10">
        <f>B128/30/4*4</f>
        <v>4.8166666666666664</v>
      </c>
      <c r="E128" s="11">
        <v>0.35</v>
      </c>
      <c r="F128" s="27">
        <v>0.35</v>
      </c>
      <c r="G128" s="109">
        <f t="shared" si="7"/>
        <v>0.1</v>
      </c>
      <c r="H128" s="109">
        <v>0.1</v>
      </c>
      <c r="I128" s="109">
        <v>0.35</v>
      </c>
      <c r="J128" s="113">
        <f t="shared" si="8"/>
        <v>0.1</v>
      </c>
      <c r="K128" s="12"/>
      <c r="L128" s="12"/>
      <c r="M128" s="129">
        <v>0.1</v>
      </c>
      <c r="N128" s="142">
        <f t="shared" si="9"/>
        <v>62.308400000000006</v>
      </c>
      <c r="O128" s="128">
        <f t="shared" si="10"/>
        <v>17.802400000000002</v>
      </c>
      <c r="P128" s="159">
        <f t="shared" si="11"/>
        <v>62.3</v>
      </c>
      <c r="Q128" s="160">
        <f t="shared" si="12"/>
        <v>17.8</v>
      </c>
    </row>
    <row r="129" spans="1:17" thickTop="1" thickBot="1">
      <c r="A129" s="12" t="s">
        <v>148</v>
      </c>
      <c r="B129" s="166">
        <v>281.2</v>
      </c>
      <c r="C129" s="10" t="s">
        <v>103</v>
      </c>
      <c r="D129" s="10">
        <f>B129/30/8*4</f>
        <v>4.6866666666666665</v>
      </c>
      <c r="E129" s="11">
        <v>0.35</v>
      </c>
      <c r="F129" s="27">
        <v>0.35</v>
      </c>
      <c r="G129" s="109">
        <f t="shared" si="7"/>
        <v>0.1</v>
      </c>
      <c r="H129" s="109">
        <v>0.1</v>
      </c>
      <c r="I129" s="109">
        <v>0.35</v>
      </c>
      <c r="J129" s="113">
        <f t="shared" si="8"/>
        <v>0.1</v>
      </c>
      <c r="K129" s="12"/>
      <c r="L129" s="12"/>
      <c r="M129" s="129">
        <v>0.1</v>
      </c>
      <c r="N129" s="142">
        <f t="shared" si="9"/>
        <v>121.25344000000001</v>
      </c>
      <c r="O129" s="128">
        <f t="shared" si="10"/>
        <v>34.643840000000004</v>
      </c>
      <c r="P129" s="159">
        <f t="shared" si="11"/>
        <v>121.3</v>
      </c>
      <c r="Q129" s="160">
        <f t="shared" si="12"/>
        <v>34.6</v>
      </c>
    </row>
    <row r="130" spans="1:17" thickTop="1" thickBot="1">
      <c r="A130" s="12" t="s">
        <v>149</v>
      </c>
      <c r="B130" s="166">
        <v>145</v>
      </c>
      <c r="C130" s="10" t="s">
        <v>103</v>
      </c>
      <c r="D130" s="10">
        <f>B130/30/4*4</f>
        <v>4.833333333333333</v>
      </c>
      <c r="E130" s="11">
        <v>0.35</v>
      </c>
      <c r="F130" s="27">
        <v>0.35</v>
      </c>
      <c r="G130" s="109">
        <f t="shared" ref="G130:G189" si="13">IF(AND(F130&gt;=0.15, F130&lt;=0.45), 0.1, IF(AND(F130&gt;=0.5, F130&lt;=0.9), F130-0.4, F130))</f>
        <v>0.1</v>
      </c>
      <c r="H130" s="109">
        <v>0.1</v>
      </c>
      <c r="I130" s="109">
        <v>0.35</v>
      </c>
      <c r="J130" s="113">
        <f t="shared" ref="J130:J189" si="14">H130</f>
        <v>0.1</v>
      </c>
      <c r="K130" s="12"/>
      <c r="L130" s="12"/>
      <c r="M130" s="129">
        <v>0.1</v>
      </c>
      <c r="N130" s="142">
        <f t="shared" si="9"/>
        <v>62.524000000000008</v>
      </c>
      <c r="O130" s="128">
        <f t="shared" si="10"/>
        <v>17.864000000000004</v>
      </c>
      <c r="P130" s="159">
        <f t="shared" si="11"/>
        <v>62.5</v>
      </c>
      <c r="Q130" s="160">
        <f t="shared" si="12"/>
        <v>17.899999999999999</v>
      </c>
    </row>
    <row r="131" spans="1:17" thickTop="1" thickBot="1">
      <c r="A131" s="12" t="s">
        <v>149</v>
      </c>
      <c r="B131" s="166">
        <v>282.2</v>
      </c>
      <c r="C131" s="10" t="s">
        <v>103</v>
      </c>
      <c r="D131" s="10">
        <f>B131/30/8*4</f>
        <v>4.7033333333333331</v>
      </c>
      <c r="E131" s="11">
        <v>0.35</v>
      </c>
      <c r="F131" s="27">
        <v>0.35</v>
      </c>
      <c r="G131" s="109">
        <f t="shared" si="13"/>
        <v>0.1</v>
      </c>
      <c r="H131" s="109">
        <v>0.1</v>
      </c>
      <c r="I131" s="109">
        <v>0.35</v>
      </c>
      <c r="J131" s="113">
        <f t="shared" si="14"/>
        <v>0.1</v>
      </c>
      <c r="K131" s="12"/>
      <c r="L131" s="12"/>
      <c r="M131" s="129">
        <v>0.1</v>
      </c>
      <c r="N131" s="142">
        <f t="shared" ref="N131:N194" si="15">B131*I131*1.12*1.1</f>
        <v>121.68464000000003</v>
      </c>
      <c r="O131" s="128">
        <f t="shared" ref="O131:O194" si="16">B131*M131*1.12*1.1</f>
        <v>34.767040000000001</v>
      </c>
      <c r="P131" s="159">
        <f t="shared" ref="P131:P194" si="17">ROUND(N131, 1)</f>
        <v>121.7</v>
      </c>
      <c r="Q131" s="160">
        <f t="shared" ref="Q131:Q194" si="18">ROUND(O131, 1)</f>
        <v>34.799999999999997</v>
      </c>
    </row>
    <row r="132" spans="1:17" thickTop="1" thickBot="1">
      <c r="A132" s="12" t="s">
        <v>150</v>
      </c>
      <c r="B132" s="166">
        <v>144.5</v>
      </c>
      <c r="C132" s="10" t="s">
        <v>151</v>
      </c>
      <c r="D132" s="10">
        <f>B132/30/4*4</f>
        <v>4.8166666666666664</v>
      </c>
      <c r="E132" s="11">
        <v>0.35</v>
      </c>
      <c r="F132" s="27">
        <v>0.35</v>
      </c>
      <c r="G132" s="109">
        <f t="shared" si="13"/>
        <v>0.1</v>
      </c>
      <c r="H132" s="109">
        <v>0.1</v>
      </c>
      <c r="I132" s="109">
        <v>0.35</v>
      </c>
      <c r="J132" s="113">
        <f t="shared" si="14"/>
        <v>0.1</v>
      </c>
      <c r="K132" s="54"/>
      <c r="L132" s="12"/>
      <c r="M132" s="129">
        <v>0.1</v>
      </c>
      <c r="N132" s="142">
        <f t="shared" si="15"/>
        <v>62.308400000000006</v>
      </c>
      <c r="O132" s="128">
        <f t="shared" si="16"/>
        <v>17.802400000000002</v>
      </c>
      <c r="P132" s="159">
        <f t="shared" si="17"/>
        <v>62.3</v>
      </c>
      <c r="Q132" s="160">
        <f t="shared" si="18"/>
        <v>17.8</v>
      </c>
    </row>
    <row r="133" spans="1:17" thickTop="1" thickBot="1">
      <c r="A133" s="12" t="s">
        <v>150</v>
      </c>
      <c r="B133" s="166">
        <v>281.2</v>
      </c>
      <c r="C133" s="10" t="s">
        <v>151</v>
      </c>
      <c r="D133" s="10">
        <f>B133/30/8*4</f>
        <v>4.6866666666666665</v>
      </c>
      <c r="E133" s="11">
        <v>0.35</v>
      </c>
      <c r="F133" s="27">
        <v>0.35</v>
      </c>
      <c r="G133" s="109">
        <f t="shared" si="13"/>
        <v>0.1</v>
      </c>
      <c r="H133" s="109">
        <v>0.1</v>
      </c>
      <c r="I133" s="109">
        <v>0.35</v>
      </c>
      <c r="J133" s="113">
        <f t="shared" si="14"/>
        <v>0.1</v>
      </c>
      <c r="K133" s="54"/>
      <c r="L133" s="12"/>
      <c r="M133" s="129">
        <v>0.1</v>
      </c>
      <c r="N133" s="142">
        <f t="shared" si="15"/>
        <v>121.25344000000001</v>
      </c>
      <c r="O133" s="128">
        <f t="shared" si="16"/>
        <v>34.643840000000004</v>
      </c>
      <c r="P133" s="159">
        <f t="shared" si="17"/>
        <v>121.3</v>
      </c>
      <c r="Q133" s="160">
        <f t="shared" si="18"/>
        <v>34.6</v>
      </c>
    </row>
    <row r="134" spans="1:17" thickTop="1" thickBot="1">
      <c r="A134" s="48" t="s">
        <v>695</v>
      </c>
      <c r="B134" s="166">
        <v>260.60000000000002</v>
      </c>
      <c r="C134" s="10" t="s">
        <v>151</v>
      </c>
      <c r="D134" s="10">
        <f>B134/30/5*4</f>
        <v>6.9493333333333336</v>
      </c>
      <c r="E134" s="1">
        <v>0.3</v>
      </c>
      <c r="F134" s="95">
        <v>0.3</v>
      </c>
      <c r="G134" s="109">
        <f t="shared" si="13"/>
        <v>0.1</v>
      </c>
      <c r="H134" s="109">
        <v>0.1</v>
      </c>
      <c r="I134" s="109">
        <v>0.3</v>
      </c>
      <c r="J134" s="113">
        <f t="shared" si="14"/>
        <v>0.1</v>
      </c>
      <c r="K134" s="54"/>
      <c r="L134" s="12"/>
      <c r="M134" s="129">
        <v>0.1</v>
      </c>
      <c r="N134" s="142">
        <f t="shared" si="15"/>
        <v>96.317760000000021</v>
      </c>
      <c r="O134" s="128">
        <f t="shared" si="16"/>
        <v>32.105920000000005</v>
      </c>
      <c r="P134" s="159">
        <f t="shared" si="17"/>
        <v>96.3</v>
      </c>
      <c r="Q134" s="160">
        <f t="shared" si="18"/>
        <v>32.1</v>
      </c>
    </row>
    <row r="135" spans="1:17" thickTop="1" thickBot="1">
      <c r="A135" s="48" t="s">
        <v>695</v>
      </c>
      <c r="B135" s="166">
        <v>260.60000000000002</v>
      </c>
      <c r="C135" s="10" t="s">
        <v>151</v>
      </c>
      <c r="D135" s="10">
        <f>B135/30/10*4</f>
        <v>3.4746666666666668</v>
      </c>
      <c r="E135" s="1">
        <v>0.25</v>
      </c>
      <c r="F135" s="95">
        <v>0.25</v>
      </c>
      <c r="G135" s="109">
        <f t="shared" si="13"/>
        <v>0.1</v>
      </c>
      <c r="H135" s="109">
        <v>0.1</v>
      </c>
      <c r="I135" s="109">
        <v>0.25</v>
      </c>
      <c r="J135" s="113">
        <f t="shared" si="14"/>
        <v>0.1</v>
      </c>
      <c r="K135" s="54"/>
      <c r="L135" s="12"/>
      <c r="M135" s="129">
        <v>0.1</v>
      </c>
      <c r="N135" s="142">
        <f t="shared" si="15"/>
        <v>80.264800000000022</v>
      </c>
      <c r="O135" s="128">
        <f t="shared" si="16"/>
        <v>32.105920000000005</v>
      </c>
      <c r="P135" s="159">
        <f t="shared" si="17"/>
        <v>80.3</v>
      </c>
      <c r="Q135" s="160">
        <f t="shared" si="18"/>
        <v>32.1</v>
      </c>
    </row>
    <row r="136" spans="1:17" thickTop="1" thickBot="1">
      <c r="A136" s="48" t="s">
        <v>719</v>
      </c>
      <c r="B136" s="166">
        <v>260.60000000000002</v>
      </c>
      <c r="C136" s="10" t="s">
        <v>103</v>
      </c>
      <c r="D136" s="10">
        <f>(B136/30)/5*4</f>
        <v>6.9493333333333336</v>
      </c>
      <c r="E136" s="1">
        <v>0.3</v>
      </c>
      <c r="F136" s="95">
        <v>0.3</v>
      </c>
      <c r="G136" s="109">
        <f t="shared" si="13"/>
        <v>0.1</v>
      </c>
      <c r="H136" s="109">
        <v>0.1</v>
      </c>
      <c r="I136" s="109">
        <v>0.3</v>
      </c>
      <c r="J136" s="113">
        <f t="shared" si="14"/>
        <v>0.1</v>
      </c>
      <c r="K136" s="54"/>
      <c r="L136" s="12"/>
      <c r="M136" s="129">
        <v>0.1</v>
      </c>
      <c r="N136" s="142">
        <f t="shared" si="15"/>
        <v>96.317760000000021</v>
      </c>
      <c r="O136" s="128">
        <f t="shared" si="16"/>
        <v>32.105920000000005</v>
      </c>
      <c r="P136" s="159">
        <f t="shared" si="17"/>
        <v>96.3</v>
      </c>
      <c r="Q136" s="160">
        <f t="shared" si="18"/>
        <v>32.1</v>
      </c>
    </row>
    <row r="137" spans="1:17" thickTop="1" thickBot="1">
      <c r="A137" s="48" t="s">
        <v>719</v>
      </c>
      <c r="B137" s="166">
        <v>260.60000000000002</v>
      </c>
      <c r="C137" s="10" t="s">
        <v>103</v>
      </c>
      <c r="D137" s="10">
        <f>(B137/30)/10*4</f>
        <v>3.4746666666666668</v>
      </c>
      <c r="E137" s="1">
        <v>0.25</v>
      </c>
      <c r="F137" s="95">
        <v>0.25</v>
      </c>
      <c r="G137" s="109">
        <f t="shared" si="13"/>
        <v>0.1</v>
      </c>
      <c r="H137" s="109">
        <v>0.1</v>
      </c>
      <c r="I137" s="109">
        <v>0.25</v>
      </c>
      <c r="J137" s="113">
        <f t="shared" si="14"/>
        <v>0.1</v>
      </c>
      <c r="K137" s="54"/>
      <c r="L137" s="12"/>
      <c r="M137" s="129">
        <v>0.1</v>
      </c>
      <c r="N137" s="142">
        <f t="shared" si="15"/>
        <v>80.264800000000022</v>
      </c>
      <c r="O137" s="128">
        <f t="shared" si="16"/>
        <v>32.105920000000005</v>
      </c>
      <c r="P137" s="159">
        <f t="shared" si="17"/>
        <v>80.3</v>
      </c>
      <c r="Q137" s="160">
        <f t="shared" si="18"/>
        <v>32.1</v>
      </c>
    </row>
    <row r="138" spans="1:17" thickTop="1" thickBot="1">
      <c r="A138" s="12" t="s">
        <v>153</v>
      </c>
      <c r="B138" s="166">
        <v>185.6</v>
      </c>
      <c r="C138" s="10" t="s">
        <v>85</v>
      </c>
      <c r="D138" s="10">
        <f>B138/30/2.5*2.5</f>
        <v>6.1866666666666674</v>
      </c>
      <c r="E138" s="11">
        <v>0.65</v>
      </c>
      <c r="F138" s="27">
        <v>0.65</v>
      </c>
      <c r="G138" s="109">
        <f t="shared" si="13"/>
        <v>0.25</v>
      </c>
      <c r="H138" s="109">
        <v>0.25</v>
      </c>
      <c r="I138" s="109">
        <v>0.65</v>
      </c>
      <c r="J138" s="113">
        <f t="shared" si="14"/>
        <v>0.25</v>
      </c>
      <c r="K138" s="12"/>
      <c r="L138" s="12"/>
      <c r="M138" s="129">
        <v>0.25</v>
      </c>
      <c r="N138" s="142">
        <f t="shared" si="15"/>
        <v>148.62848000000002</v>
      </c>
      <c r="O138" s="128">
        <f t="shared" si="16"/>
        <v>57.164800000000007</v>
      </c>
      <c r="P138" s="159">
        <f t="shared" si="17"/>
        <v>148.6</v>
      </c>
      <c r="Q138" s="160">
        <f t="shared" si="18"/>
        <v>57.2</v>
      </c>
    </row>
    <row r="139" spans="1:17" thickTop="1" thickBot="1">
      <c r="A139" s="12" t="s">
        <v>153</v>
      </c>
      <c r="B139" s="166">
        <v>459.7</v>
      </c>
      <c r="C139" s="10" t="s">
        <v>85</v>
      </c>
      <c r="D139" s="10">
        <f>B139/30/5*2.5</f>
        <v>7.6616666666666671</v>
      </c>
      <c r="E139" s="11">
        <v>0.65</v>
      </c>
      <c r="F139" s="27">
        <v>0.65</v>
      </c>
      <c r="G139" s="109">
        <f t="shared" si="13"/>
        <v>0.25</v>
      </c>
      <c r="H139" s="109">
        <v>0.25</v>
      </c>
      <c r="I139" s="109">
        <v>0.65</v>
      </c>
      <c r="J139" s="113">
        <f t="shared" si="14"/>
        <v>0.25</v>
      </c>
      <c r="K139" s="12"/>
      <c r="L139" s="12"/>
      <c r="M139" s="129">
        <v>0.25</v>
      </c>
      <c r="N139" s="142">
        <f t="shared" si="15"/>
        <v>368.12776000000008</v>
      </c>
      <c r="O139" s="128">
        <f t="shared" si="16"/>
        <v>141.58760000000001</v>
      </c>
      <c r="P139" s="159">
        <f t="shared" si="17"/>
        <v>368.1</v>
      </c>
      <c r="Q139" s="160">
        <f t="shared" si="18"/>
        <v>141.6</v>
      </c>
    </row>
    <row r="140" spans="1:17" thickTop="1" thickBot="1">
      <c r="A140" s="12" t="s">
        <v>154</v>
      </c>
      <c r="B140" s="166">
        <v>290</v>
      </c>
      <c r="C140" s="10" t="s">
        <v>152</v>
      </c>
      <c r="D140" s="10">
        <f>B140/28/10*15</f>
        <v>15.535714285714286</v>
      </c>
      <c r="E140" s="11">
        <v>0.5</v>
      </c>
      <c r="F140" s="27">
        <v>0.5</v>
      </c>
      <c r="G140" s="109">
        <f t="shared" si="13"/>
        <v>9.9999999999999978E-2</v>
      </c>
      <c r="H140" s="109">
        <v>9.9999999999999978E-2</v>
      </c>
      <c r="I140" s="109">
        <v>0.5</v>
      </c>
      <c r="J140" s="113">
        <f t="shared" si="14"/>
        <v>9.9999999999999978E-2</v>
      </c>
      <c r="K140" s="12"/>
      <c r="L140" s="12"/>
      <c r="M140" s="129">
        <v>9.9999999999999978E-2</v>
      </c>
      <c r="N140" s="142">
        <f t="shared" si="15"/>
        <v>178.64000000000001</v>
      </c>
      <c r="O140" s="128">
        <f t="shared" si="16"/>
        <v>35.728000000000002</v>
      </c>
      <c r="P140" s="159">
        <f t="shared" si="17"/>
        <v>178.6</v>
      </c>
      <c r="Q140" s="160">
        <f t="shared" si="18"/>
        <v>35.700000000000003</v>
      </c>
    </row>
    <row r="141" spans="1:17" thickTop="1" thickBot="1">
      <c r="A141" s="12" t="s">
        <v>154</v>
      </c>
      <c r="B141" s="166">
        <v>346.6</v>
      </c>
      <c r="C141" s="10" t="s">
        <v>152</v>
      </c>
      <c r="D141" s="10">
        <f>B141/28/20*15</f>
        <v>9.2839285714285715</v>
      </c>
      <c r="E141" s="11">
        <v>0.5</v>
      </c>
      <c r="F141" s="27">
        <v>0.5</v>
      </c>
      <c r="G141" s="109">
        <f t="shared" si="13"/>
        <v>9.9999999999999978E-2</v>
      </c>
      <c r="H141" s="109">
        <v>9.9999999999999978E-2</v>
      </c>
      <c r="I141" s="109">
        <v>0.5</v>
      </c>
      <c r="J141" s="113">
        <f t="shared" si="14"/>
        <v>9.9999999999999978E-2</v>
      </c>
      <c r="K141" s="12"/>
      <c r="L141" s="12"/>
      <c r="M141" s="129">
        <v>9.9999999999999978E-2</v>
      </c>
      <c r="N141" s="142">
        <f t="shared" si="15"/>
        <v>213.50560000000004</v>
      </c>
      <c r="O141" s="128">
        <f t="shared" si="16"/>
        <v>42.701120000000003</v>
      </c>
      <c r="P141" s="159">
        <f t="shared" si="17"/>
        <v>213.5</v>
      </c>
      <c r="Q141" s="160">
        <f t="shared" si="18"/>
        <v>42.7</v>
      </c>
    </row>
    <row r="142" spans="1:17" thickTop="1" thickBot="1">
      <c r="A142" s="12" t="s">
        <v>155</v>
      </c>
      <c r="B142" s="166">
        <v>726.7</v>
      </c>
      <c r="C142" s="10" t="s">
        <v>22</v>
      </c>
      <c r="D142" s="10">
        <f>B142/28/30*30</f>
        <v>25.953571428571429</v>
      </c>
      <c r="E142" s="11">
        <v>0.75</v>
      </c>
      <c r="F142" s="27">
        <v>0.75</v>
      </c>
      <c r="G142" s="109">
        <f t="shared" si="13"/>
        <v>0.35</v>
      </c>
      <c r="H142" s="109">
        <v>0.35</v>
      </c>
      <c r="I142" s="109">
        <v>0.75</v>
      </c>
      <c r="J142" s="113">
        <f t="shared" si="14"/>
        <v>0.35</v>
      </c>
      <c r="K142" s="12" t="s">
        <v>156</v>
      </c>
      <c r="L142" s="12" t="s">
        <v>157</v>
      </c>
      <c r="M142" s="129">
        <v>0.35</v>
      </c>
      <c r="N142" s="142">
        <f t="shared" si="15"/>
        <v>671.47080000000017</v>
      </c>
      <c r="O142" s="128">
        <f t="shared" si="16"/>
        <v>313.35304000000002</v>
      </c>
      <c r="P142" s="159">
        <f t="shared" si="17"/>
        <v>671.5</v>
      </c>
      <c r="Q142" s="160">
        <f t="shared" si="18"/>
        <v>313.39999999999998</v>
      </c>
    </row>
    <row r="143" spans="1:17" ht="46.5" thickTop="1" thickBot="1">
      <c r="A143" s="12" t="s">
        <v>159</v>
      </c>
      <c r="B143" s="166">
        <v>139.30000000000001</v>
      </c>
      <c r="C143" s="10" t="s">
        <v>74</v>
      </c>
      <c r="D143" s="10">
        <f t="shared" ref="D143:D148" si="19">B143/30</f>
        <v>4.6433333333333335</v>
      </c>
      <c r="E143" s="11">
        <v>0.35</v>
      </c>
      <c r="F143" s="27">
        <v>0.35</v>
      </c>
      <c r="G143" s="109">
        <f t="shared" si="13"/>
        <v>0.1</v>
      </c>
      <c r="H143" s="109">
        <v>0.1</v>
      </c>
      <c r="I143" s="109">
        <v>0.35</v>
      </c>
      <c r="J143" s="113">
        <f t="shared" si="14"/>
        <v>0.1</v>
      </c>
      <c r="K143" s="12" t="s">
        <v>160</v>
      </c>
      <c r="L143" s="12"/>
      <c r="M143" s="129">
        <v>0.1</v>
      </c>
      <c r="N143" s="142">
        <f t="shared" si="15"/>
        <v>60.066160000000018</v>
      </c>
      <c r="O143" s="128">
        <f t="shared" si="16"/>
        <v>17.161760000000005</v>
      </c>
      <c r="P143" s="159">
        <f t="shared" si="17"/>
        <v>60.1</v>
      </c>
      <c r="Q143" s="160">
        <f t="shared" si="18"/>
        <v>17.2</v>
      </c>
    </row>
    <row r="144" spans="1:17" ht="46.5" thickTop="1" thickBot="1">
      <c r="A144" s="12" t="s">
        <v>159</v>
      </c>
      <c r="B144" s="166">
        <v>278.39999999999998</v>
      </c>
      <c r="C144" s="10" t="s">
        <v>74</v>
      </c>
      <c r="D144" s="10">
        <f t="shared" si="19"/>
        <v>9.2799999999999994</v>
      </c>
      <c r="E144" s="11">
        <v>0.35</v>
      </c>
      <c r="F144" s="27">
        <v>0.35</v>
      </c>
      <c r="G144" s="109">
        <f t="shared" si="13"/>
        <v>0.1</v>
      </c>
      <c r="H144" s="109">
        <v>0.1</v>
      </c>
      <c r="I144" s="109">
        <v>0.35</v>
      </c>
      <c r="J144" s="113">
        <f t="shared" si="14"/>
        <v>0.1</v>
      </c>
      <c r="K144" s="12" t="s">
        <v>160</v>
      </c>
      <c r="L144" s="12"/>
      <c r="M144" s="129">
        <v>0.1</v>
      </c>
      <c r="N144" s="142">
        <f t="shared" si="15"/>
        <v>120.04608</v>
      </c>
      <c r="O144" s="128">
        <f t="shared" si="16"/>
        <v>34.298880000000004</v>
      </c>
      <c r="P144" s="159">
        <f t="shared" si="17"/>
        <v>120</v>
      </c>
      <c r="Q144" s="160">
        <f t="shared" si="18"/>
        <v>34.299999999999997</v>
      </c>
    </row>
    <row r="145" spans="1:17" ht="46.5" thickTop="1" thickBot="1">
      <c r="A145" s="12" t="s">
        <v>159</v>
      </c>
      <c r="B145" s="166">
        <v>501.3</v>
      </c>
      <c r="C145" s="10" t="s">
        <v>74</v>
      </c>
      <c r="D145" s="10">
        <f t="shared" si="19"/>
        <v>16.71</v>
      </c>
      <c r="E145" s="11">
        <v>0.35</v>
      </c>
      <c r="F145" s="27">
        <v>0.35</v>
      </c>
      <c r="G145" s="109">
        <f t="shared" si="13"/>
        <v>0.1</v>
      </c>
      <c r="H145" s="109">
        <v>0.1</v>
      </c>
      <c r="I145" s="109">
        <v>0.35</v>
      </c>
      <c r="J145" s="113">
        <f t="shared" si="14"/>
        <v>0.1</v>
      </c>
      <c r="K145" s="12" t="s">
        <v>160</v>
      </c>
      <c r="L145" s="12"/>
      <c r="M145" s="129">
        <v>0.1</v>
      </c>
      <c r="N145" s="142">
        <f t="shared" si="15"/>
        <v>216.16056000000003</v>
      </c>
      <c r="O145" s="128">
        <f t="shared" si="16"/>
        <v>61.760160000000013</v>
      </c>
      <c r="P145" s="159">
        <f t="shared" si="17"/>
        <v>216.2</v>
      </c>
      <c r="Q145" s="160">
        <f t="shared" si="18"/>
        <v>61.8</v>
      </c>
    </row>
    <row r="146" spans="1:17" ht="46.5" thickTop="1" thickBot="1">
      <c r="A146" s="12" t="s">
        <v>161</v>
      </c>
      <c r="B146" s="166">
        <v>338.8</v>
      </c>
      <c r="C146" s="10" t="s">
        <v>74</v>
      </c>
      <c r="D146" s="10">
        <f t="shared" si="19"/>
        <v>11.293333333333333</v>
      </c>
      <c r="E146" s="11">
        <v>0.5</v>
      </c>
      <c r="F146" s="27">
        <v>0.5</v>
      </c>
      <c r="G146" s="109">
        <f t="shared" si="13"/>
        <v>9.9999999999999978E-2</v>
      </c>
      <c r="H146" s="109">
        <v>9.9999999999999978E-2</v>
      </c>
      <c r="I146" s="109">
        <v>0.5</v>
      </c>
      <c r="J146" s="113">
        <f t="shared" si="14"/>
        <v>9.9999999999999978E-2</v>
      </c>
      <c r="K146" s="12" t="s">
        <v>160</v>
      </c>
      <c r="L146" s="12"/>
      <c r="M146" s="129">
        <v>9.9999999999999978E-2</v>
      </c>
      <c r="N146" s="142">
        <f t="shared" si="15"/>
        <v>208.70080000000004</v>
      </c>
      <c r="O146" s="128">
        <f t="shared" si="16"/>
        <v>41.740160000000003</v>
      </c>
      <c r="P146" s="159">
        <f t="shared" si="17"/>
        <v>208.7</v>
      </c>
      <c r="Q146" s="160">
        <f t="shared" si="18"/>
        <v>41.7</v>
      </c>
    </row>
    <row r="147" spans="1:17" ht="46.5" thickTop="1" thickBot="1">
      <c r="A147" s="12" t="s">
        <v>162</v>
      </c>
      <c r="B147" s="166">
        <v>754.6</v>
      </c>
      <c r="C147" s="10" t="s">
        <v>74</v>
      </c>
      <c r="D147" s="10">
        <f t="shared" si="19"/>
        <v>25.153333333333332</v>
      </c>
      <c r="E147" s="11">
        <v>0.55000000000000004</v>
      </c>
      <c r="F147" s="27">
        <v>0.55000000000000004</v>
      </c>
      <c r="G147" s="109">
        <f t="shared" si="13"/>
        <v>0.15000000000000002</v>
      </c>
      <c r="H147" s="109">
        <v>0.15000000000000002</v>
      </c>
      <c r="I147" s="109">
        <v>0.55000000000000004</v>
      </c>
      <c r="J147" s="113">
        <f t="shared" si="14"/>
        <v>0.15000000000000002</v>
      </c>
      <c r="K147" s="12" t="s">
        <v>160</v>
      </c>
      <c r="L147" s="12"/>
      <c r="M147" s="129">
        <v>0.15000000000000002</v>
      </c>
      <c r="N147" s="142">
        <f t="shared" si="15"/>
        <v>511.31696000000017</v>
      </c>
      <c r="O147" s="128">
        <f t="shared" si="16"/>
        <v>139.45008000000007</v>
      </c>
      <c r="P147" s="159">
        <f t="shared" si="17"/>
        <v>511.3</v>
      </c>
      <c r="Q147" s="160">
        <f t="shared" si="18"/>
        <v>139.5</v>
      </c>
    </row>
    <row r="148" spans="1:17" ht="46.5" thickTop="1" thickBot="1">
      <c r="A148" s="12" t="s">
        <v>163</v>
      </c>
      <c r="B148" s="166">
        <v>278.39999999999998</v>
      </c>
      <c r="C148" s="10" t="s">
        <v>74</v>
      </c>
      <c r="D148" s="10">
        <f t="shared" si="19"/>
        <v>9.2799999999999994</v>
      </c>
      <c r="E148" s="11">
        <v>0.35</v>
      </c>
      <c r="F148" s="27">
        <v>0.35</v>
      </c>
      <c r="G148" s="109">
        <f t="shared" si="13"/>
        <v>0.1</v>
      </c>
      <c r="H148" s="109">
        <v>0.1</v>
      </c>
      <c r="I148" s="109">
        <v>0.35</v>
      </c>
      <c r="J148" s="113">
        <f t="shared" si="14"/>
        <v>0.1</v>
      </c>
      <c r="K148" s="12" t="s">
        <v>160</v>
      </c>
      <c r="L148" s="12"/>
      <c r="M148" s="129">
        <v>0.1</v>
      </c>
      <c r="N148" s="142">
        <f t="shared" si="15"/>
        <v>120.04608</v>
      </c>
      <c r="O148" s="128">
        <f t="shared" si="16"/>
        <v>34.298880000000004</v>
      </c>
      <c r="P148" s="159">
        <f t="shared" si="17"/>
        <v>120</v>
      </c>
      <c r="Q148" s="160">
        <f t="shared" si="18"/>
        <v>34.299999999999997</v>
      </c>
    </row>
    <row r="149" spans="1:17" ht="46.5" thickTop="1" thickBot="1">
      <c r="A149" s="15" t="s">
        <v>164</v>
      </c>
      <c r="B149" s="167">
        <v>168.8</v>
      </c>
      <c r="C149" s="10" t="s">
        <v>74</v>
      </c>
      <c r="D149" s="10">
        <f>B149/30</f>
        <v>5.6266666666666669</v>
      </c>
      <c r="E149" s="11">
        <v>0.4</v>
      </c>
      <c r="F149" s="27">
        <v>0.4</v>
      </c>
      <c r="G149" s="109">
        <f t="shared" si="13"/>
        <v>0.1</v>
      </c>
      <c r="H149" s="109">
        <v>0.1</v>
      </c>
      <c r="I149" s="109">
        <v>0.4</v>
      </c>
      <c r="J149" s="113">
        <f t="shared" si="14"/>
        <v>0.1</v>
      </c>
      <c r="K149" s="12" t="s">
        <v>160</v>
      </c>
      <c r="L149" s="12"/>
      <c r="M149" s="129">
        <v>0.1</v>
      </c>
      <c r="N149" s="142">
        <f t="shared" si="15"/>
        <v>83.184640000000016</v>
      </c>
      <c r="O149" s="128">
        <f t="shared" si="16"/>
        <v>20.796160000000004</v>
      </c>
      <c r="P149" s="159">
        <f t="shared" si="17"/>
        <v>83.2</v>
      </c>
      <c r="Q149" s="160">
        <f t="shared" si="18"/>
        <v>20.8</v>
      </c>
    </row>
    <row r="150" spans="1:17" ht="46.5" thickTop="1" thickBot="1">
      <c r="A150" s="15" t="s">
        <v>164</v>
      </c>
      <c r="B150" s="167">
        <v>260.60000000000002</v>
      </c>
      <c r="C150" s="10" t="s">
        <v>74</v>
      </c>
      <c r="D150" s="10">
        <f>B150/30</f>
        <v>8.6866666666666674</v>
      </c>
      <c r="E150" s="11">
        <v>0.35</v>
      </c>
      <c r="F150" s="27">
        <v>0.35</v>
      </c>
      <c r="G150" s="109">
        <f t="shared" si="13"/>
        <v>0.1</v>
      </c>
      <c r="H150" s="109">
        <v>0.1</v>
      </c>
      <c r="I150" s="109">
        <v>0.35</v>
      </c>
      <c r="J150" s="113">
        <f t="shared" si="14"/>
        <v>0.1</v>
      </c>
      <c r="K150" s="12" t="s">
        <v>160</v>
      </c>
      <c r="L150" s="12"/>
      <c r="M150" s="129">
        <v>0.1</v>
      </c>
      <c r="N150" s="142">
        <f t="shared" si="15"/>
        <v>112.37072000000003</v>
      </c>
      <c r="O150" s="128">
        <f t="shared" si="16"/>
        <v>32.105920000000005</v>
      </c>
      <c r="P150" s="159">
        <f t="shared" si="17"/>
        <v>112.4</v>
      </c>
      <c r="Q150" s="160">
        <f t="shared" si="18"/>
        <v>32.1</v>
      </c>
    </row>
    <row r="151" spans="1:17" ht="46.5" thickTop="1" thickBot="1">
      <c r="A151" s="15" t="s">
        <v>164</v>
      </c>
      <c r="B151" s="167">
        <v>607.79999999999995</v>
      </c>
      <c r="C151" s="10" t="s">
        <v>74</v>
      </c>
      <c r="D151" s="10">
        <f>B151/30</f>
        <v>20.259999999999998</v>
      </c>
      <c r="E151" s="11">
        <v>0.4</v>
      </c>
      <c r="F151" s="27">
        <v>0.4</v>
      </c>
      <c r="G151" s="109">
        <f t="shared" si="13"/>
        <v>0.1</v>
      </c>
      <c r="H151" s="109">
        <v>0.1</v>
      </c>
      <c r="I151" s="109">
        <v>0.4</v>
      </c>
      <c r="J151" s="113">
        <f t="shared" si="14"/>
        <v>0.1</v>
      </c>
      <c r="K151" s="12" t="s">
        <v>160</v>
      </c>
      <c r="L151" s="12"/>
      <c r="M151" s="129">
        <v>0.1</v>
      </c>
      <c r="N151" s="142">
        <f t="shared" si="15"/>
        <v>299.52384000000006</v>
      </c>
      <c r="O151" s="128">
        <f t="shared" si="16"/>
        <v>74.880960000000016</v>
      </c>
      <c r="P151" s="159">
        <f t="shared" si="17"/>
        <v>299.5</v>
      </c>
      <c r="Q151" s="160">
        <f t="shared" si="18"/>
        <v>74.900000000000006</v>
      </c>
    </row>
    <row r="152" spans="1:17" ht="46.5" thickTop="1" thickBot="1">
      <c r="A152" s="12" t="s">
        <v>165</v>
      </c>
      <c r="B152" s="167">
        <v>139.30000000000001</v>
      </c>
      <c r="C152" s="83" t="s">
        <v>74</v>
      </c>
      <c r="D152" s="10">
        <f>+B152/30</f>
        <v>4.6433333333333335</v>
      </c>
      <c r="E152" s="11">
        <v>0.35</v>
      </c>
      <c r="F152" s="27">
        <v>0.35</v>
      </c>
      <c r="G152" s="109">
        <f t="shared" si="13"/>
        <v>0.1</v>
      </c>
      <c r="H152" s="109">
        <v>0.1</v>
      </c>
      <c r="I152" s="109">
        <v>0.35</v>
      </c>
      <c r="J152" s="113">
        <f t="shared" si="14"/>
        <v>0.1</v>
      </c>
      <c r="K152" s="12" t="s">
        <v>160</v>
      </c>
      <c r="L152" s="12"/>
      <c r="M152" s="129">
        <v>0.1</v>
      </c>
      <c r="N152" s="142">
        <f t="shared" si="15"/>
        <v>60.066160000000018</v>
      </c>
      <c r="O152" s="128">
        <f t="shared" si="16"/>
        <v>17.161760000000005</v>
      </c>
      <c r="P152" s="159">
        <f t="shared" si="17"/>
        <v>60.1</v>
      </c>
      <c r="Q152" s="160">
        <f t="shared" si="18"/>
        <v>17.2</v>
      </c>
    </row>
    <row r="153" spans="1:17" ht="46.5" thickTop="1" thickBot="1">
      <c r="A153" s="12" t="s">
        <v>165</v>
      </c>
      <c r="B153" s="167">
        <v>278.39999999999998</v>
      </c>
      <c r="C153" s="83" t="s">
        <v>74</v>
      </c>
      <c r="D153" s="10">
        <f>+B153/30</f>
        <v>9.2799999999999994</v>
      </c>
      <c r="E153" s="11">
        <v>0.35</v>
      </c>
      <c r="F153" s="27">
        <v>0.35</v>
      </c>
      <c r="G153" s="109">
        <f t="shared" si="13"/>
        <v>0.1</v>
      </c>
      <c r="H153" s="109">
        <v>0.1</v>
      </c>
      <c r="I153" s="109">
        <v>0.35</v>
      </c>
      <c r="J153" s="113">
        <f t="shared" si="14"/>
        <v>0.1</v>
      </c>
      <c r="K153" s="12" t="s">
        <v>160</v>
      </c>
      <c r="L153" s="12"/>
      <c r="M153" s="129">
        <v>0.1</v>
      </c>
      <c r="N153" s="142">
        <f t="shared" si="15"/>
        <v>120.04608</v>
      </c>
      <c r="O153" s="128">
        <f t="shared" si="16"/>
        <v>34.298880000000004</v>
      </c>
      <c r="P153" s="159">
        <f t="shared" si="17"/>
        <v>120</v>
      </c>
      <c r="Q153" s="160">
        <f t="shared" si="18"/>
        <v>34.299999999999997</v>
      </c>
    </row>
    <row r="154" spans="1:17" ht="46.5" thickTop="1" thickBot="1">
      <c r="A154" s="12" t="s">
        <v>166</v>
      </c>
      <c r="B154" s="167">
        <v>260.60000000000002</v>
      </c>
      <c r="C154" s="10" t="s">
        <v>74</v>
      </c>
      <c r="D154" s="10">
        <f>B154/30</f>
        <v>8.6866666666666674</v>
      </c>
      <c r="E154" s="11">
        <v>0.35</v>
      </c>
      <c r="F154" s="27">
        <v>0.35</v>
      </c>
      <c r="G154" s="109">
        <f t="shared" si="13"/>
        <v>0.1</v>
      </c>
      <c r="H154" s="109">
        <v>0.1</v>
      </c>
      <c r="I154" s="109">
        <v>0.35</v>
      </c>
      <c r="J154" s="113">
        <f t="shared" si="14"/>
        <v>0.1</v>
      </c>
      <c r="K154" s="12" t="s">
        <v>160</v>
      </c>
      <c r="L154" s="12"/>
      <c r="M154" s="129">
        <v>0.1</v>
      </c>
      <c r="N154" s="142">
        <f t="shared" si="15"/>
        <v>112.37072000000003</v>
      </c>
      <c r="O154" s="128">
        <f t="shared" si="16"/>
        <v>32.105920000000005</v>
      </c>
      <c r="P154" s="159">
        <f t="shared" si="17"/>
        <v>112.4</v>
      </c>
      <c r="Q154" s="160">
        <f t="shared" si="18"/>
        <v>32.1</v>
      </c>
    </row>
    <row r="155" spans="1:17" ht="46.5" thickTop="1" thickBot="1">
      <c r="A155" s="12" t="s">
        <v>166</v>
      </c>
      <c r="B155" s="167">
        <v>607.79999999999995</v>
      </c>
      <c r="C155" s="10" t="s">
        <v>74</v>
      </c>
      <c r="D155" s="10">
        <f>B155/30</f>
        <v>20.259999999999998</v>
      </c>
      <c r="E155" s="11">
        <v>0.4</v>
      </c>
      <c r="F155" s="27">
        <v>0.4</v>
      </c>
      <c r="G155" s="109">
        <f t="shared" si="13"/>
        <v>0.1</v>
      </c>
      <c r="H155" s="109">
        <v>0.1</v>
      </c>
      <c r="I155" s="109">
        <v>0.4</v>
      </c>
      <c r="J155" s="113">
        <f t="shared" si="14"/>
        <v>0.1</v>
      </c>
      <c r="K155" s="12" t="s">
        <v>160</v>
      </c>
      <c r="L155" s="12"/>
      <c r="M155" s="129">
        <v>0.1</v>
      </c>
      <c r="N155" s="142">
        <f t="shared" si="15"/>
        <v>299.52384000000006</v>
      </c>
      <c r="O155" s="128">
        <f t="shared" si="16"/>
        <v>74.880960000000016</v>
      </c>
      <c r="P155" s="159">
        <f t="shared" si="17"/>
        <v>299.5</v>
      </c>
      <c r="Q155" s="160">
        <f t="shared" si="18"/>
        <v>74.900000000000006</v>
      </c>
    </row>
    <row r="156" spans="1:17" ht="46.5" thickTop="1" thickBot="1">
      <c r="A156" s="12" t="s">
        <v>167</v>
      </c>
      <c r="B156" s="166">
        <v>559.70000000000005</v>
      </c>
      <c r="C156" s="10" t="s">
        <v>74</v>
      </c>
      <c r="D156" s="10">
        <f>B156/30</f>
        <v>18.65666666666667</v>
      </c>
      <c r="E156" s="11">
        <v>0.65</v>
      </c>
      <c r="F156" s="27">
        <v>0.65</v>
      </c>
      <c r="G156" s="109">
        <f t="shared" si="13"/>
        <v>0.25</v>
      </c>
      <c r="H156" s="109">
        <v>0.25</v>
      </c>
      <c r="I156" s="109">
        <v>0.65</v>
      </c>
      <c r="J156" s="113">
        <f t="shared" si="14"/>
        <v>0.25</v>
      </c>
      <c r="K156" s="12" t="s">
        <v>142</v>
      </c>
      <c r="L156" s="12"/>
      <c r="M156" s="129">
        <v>0.25</v>
      </c>
      <c r="N156" s="142">
        <f t="shared" si="15"/>
        <v>448.20776000000012</v>
      </c>
      <c r="O156" s="128">
        <f t="shared" si="16"/>
        <v>172.38760000000005</v>
      </c>
      <c r="P156" s="159">
        <f t="shared" si="17"/>
        <v>448.2</v>
      </c>
      <c r="Q156" s="160">
        <f t="shared" si="18"/>
        <v>172.4</v>
      </c>
    </row>
    <row r="157" spans="1:17" ht="46.5" thickTop="1" thickBot="1">
      <c r="A157" s="12" t="s">
        <v>168</v>
      </c>
      <c r="B157" s="166">
        <v>471.9</v>
      </c>
      <c r="C157" s="10" t="s">
        <v>74</v>
      </c>
      <c r="D157" s="10">
        <f>B157/28</f>
        <v>16.853571428571428</v>
      </c>
      <c r="E157" s="11">
        <v>0.6</v>
      </c>
      <c r="F157" s="27">
        <v>0.6</v>
      </c>
      <c r="G157" s="109">
        <f t="shared" si="13"/>
        <v>0.19999999999999996</v>
      </c>
      <c r="H157" s="109">
        <v>0.19999999999999996</v>
      </c>
      <c r="I157" s="109">
        <v>0.6</v>
      </c>
      <c r="J157" s="113">
        <f t="shared" si="14"/>
        <v>0.19999999999999996</v>
      </c>
      <c r="K157" s="12" t="s">
        <v>142</v>
      </c>
      <c r="L157" s="12"/>
      <c r="M157" s="129">
        <v>0.19999999999999996</v>
      </c>
      <c r="N157" s="142">
        <f t="shared" si="15"/>
        <v>348.82848000000001</v>
      </c>
      <c r="O157" s="128">
        <f t="shared" si="16"/>
        <v>116.27616</v>
      </c>
      <c r="P157" s="159">
        <f t="shared" si="17"/>
        <v>348.8</v>
      </c>
      <c r="Q157" s="160">
        <f t="shared" si="18"/>
        <v>116.3</v>
      </c>
    </row>
    <row r="158" spans="1:17" ht="46.5" thickTop="1" thickBot="1">
      <c r="A158" s="12" t="s">
        <v>169</v>
      </c>
      <c r="B158" s="166">
        <v>393.4</v>
      </c>
      <c r="C158" s="10" t="s">
        <v>74</v>
      </c>
      <c r="D158" s="10">
        <f t="shared" ref="D158:D177" si="20">B158/30</f>
        <v>13.113333333333333</v>
      </c>
      <c r="E158" s="11">
        <v>0.75</v>
      </c>
      <c r="F158" s="27">
        <v>0.75</v>
      </c>
      <c r="G158" s="109">
        <f t="shared" si="13"/>
        <v>0.35</v>
      </c>
      <c r="H158" s="109">
        <v>0.35</v>
      </c>
      <c r="I158" s="109">
        <v>0.75</v>
      </c>
      <c r="J158" s="113">
        <f t="shared" si="14"/>
        <v>0.35</v>
      </c>
      <c r="K158" s="12" t="s">
        <v>142</v>
      </c>
      <c r="L158" s="12"/>
      <c r="M158" s="129">
        <v>0.35</v>
      </c>
      <c r="N158" s="142">
        <f t="shared" si="15"/>
        <v>363.5016</v>
      </c>
      <c r="O158" s="128">
        <f t="shared" si="16"/>
        <v>169.63408000000001</v>
      </c>
      <c r="P158" s="159">
        <f t="shared" si="17"/>
        <v>363.5</v>
      </c>
      <c r="Q158" s="160">
        <f t="shared" si="18"/>
        <v>169.6</v>
      </c>
    </row>
    <row r="159" spans="1:17" ht="46.5" thickTop="1" thickBot="1">
      <c r="A159" s="12" t="s">
        <v>170</v>
      </c>
      <c r="B159" s="166">
        <v>523.1</v>
      </c>
      <c r="C159" s="10" t="s">
        <v>74</v>
      </c>
      <c r="D159" s="10">
        <f t="shared" si="20"/>
        <v>17.436666666666667</v>
      </c>
      <c r="E159" s="11">
        <v>0.65</v>
      </c>
      <c r="F159" s="27">
        <v>0.65</v>
      </c>
      <c r="G159" s="109">
        <f t="shared" si="13"/>
        <v>0.25</v>
      </c>
      <c r="H159" s="109">
        <v>0.25</v>
      </c>
      <c r="I159" s="109">
        <v>0.65</v>
      </c>
      <c r="J159" s="113">
        <f t="shared" si="14"/>
        <v>0.25</v>
      </c>
      <c r="K159" s="12" t="s">
        <v>142</v>
      </c>
      <c r="L159" s="12"/>
      <c r="M159" s="129">
        <v>0.25</v>
      </c>
      <c r="N159" s="142">
        <f t="shared" si="15"/>
        <v>418.89848000000012</v>
      </c>
      <c r="O159" s="128">
        <f t="shared" si="16"/>
        <v>161.11480000000003</v>
      </c>
      <c r="P159" s="159">
        <f t="shared" si="17"/>
        <v>418.9</v>
      </c>
      <c r="Q159" s="160">
        <f t="shared" si="18"/>
        <v>161.1</v>
      </c>
    </row>
    <row r="160" spans="1:17" ht="46.5" thickTop="1" thickBot="1">
      <c r="A160" s="12" t="s">
        <v>169</v>
      </c>
      <c r="B160" s="166">
        <v>434.8</v>
      </c>
      <c r="C160" s="10" t="s">
        <v>74</v>
      </c>
      <c r="D160" s="10">
        <f t="shared" si="20"/>
        <v>14.493333333333334</v>
      </c>
      <c r="E160" s="11">
        <v>0.5</v>
      </c>
      <c r="F160" s="27">
        <v>0.5</v>
      </c>
      <c r="G160" s="109">
        <f t="shared" si="13"/>
        <v>9.9999999999999978E-2</v>
      </c>
      <c r="H160" s="109">
        <v>9.9999999999999978E-2</v>
      </c>
      <c r="I160" s="109">
        <v>0.5</v>
      </c>
      <c r="J160" s="113">
        <f t="shared" si="14"/>
        <v>9.9999999999999978E-2</v>
      </c>
      <c r="K160" s="12" t="s">
        <v>142</v>
      </c>
      <c r="L160" s="12"/>
      <c r="M160" s="129">
        <v>9.9999999999999978E-2</v>
      </c>
      <c r="N160" s="142">
        <f t="shared" si="15"/>
        <v>267.83680000000004</v>
      </c>
      <c r="O160" s="128">
        <f t="shared" si="16"/>
        <v>53.567360000000001</v>
      </c>
      <c r="P160" s="159">
        <f t="shared" si="17"/>
        <v>267.8</v>
      </c>
      <c r="Q160" s="160">
        <f t="shared" si="18"/>
        <v>53.6</v>
      </c>
    </row>
    <row r="161" spans="1:17" ht="46.5" thickTop="1" thickBot="1">
      <c r="A161" s="15" t="s">
        <v>171</v>
      </c>
      <c r="B161" s="166">
        <v>302.60000000000002</v>
      </c>
      <c r="C161" s="20" t="s">
        <v>74</v>
      </c>
      <c r="D161" s="10">
        <f t="shared" si="20"/>
        <v>10.086666666666668</v>
      </c>
      <c r="E161" s="3">
        <v>0.65</v>
      </c>
      <c r="F161" s="98">
        <v>0.65</v>
      </c>
      <c r="G161" s="109">
        <f t="shared" si="13"/>
        <v>0.25</v>
      </c>
      <c r="H161" s="109">
        <v>0.25</v>
      </c>
      <c r="I161" s="109">
        <v>0.65</v>
      </c>
      <c r="J161" s="113">
        <f t="shared" si="14"/>
        <v>0.25</v>
      </c>
      <c r="K161" s="12" t="s">
        <v>142</v>
      </c>
      <c r="L161" s="12"/>
      <c r="M161" s="129">
        <v>0.25</v>
      </c>
      <c r="N161" s="142">
        <f t="shared" si="15"/>
        <v>242.32208000000008</v>
      </c>
      <c r="O161" s="128">
        <f t="shared" si="16"/>
        <v>93.200800000000015</v>
      </c>
      <c r="P161" s="159">
        <f t="shared" si="17"/>
        <v>242.3</v>
      </c>
      <c r="Q161" s="160">
        <f t="shared" si="18"/>
        <v>93.2</v>
      </c>
    </row>
    <row r="162" spans="1:17" ht="46.5" thickTop="1" thickBot="1">
      <c r="A162" s="15" t="s">
        <v>171</v>
      </c>
      <c r="B162" s="166">
        <v>335.9</v>
      </c>
      <c r="C162" s="20" t="s">
        <v>74</v>
      </c>
      <c r="D162" s="10">
        <f t="shared" si="20"/>
        <v>11.196666666666665</v>
      </c>
      <c r="E162" s="3">
        <v>0.3</v>
      </c>
      <c r="F162" s="98">
        <v>0.3</v>
      </c>
      <c r="G162" s="109">
        <f t="shared" si="13"/>
        <v>0.1</v>
      </c>
      <c r="H162" s="109">
        <v>0.1</v>
      </c>
      <c r="I162" s="109">
        <v>0.3</v>
      </c>
      <c r="J162" s="113">
        <f t="shared" si="14"/>
        <v>0.1</v>
      </c>
      <c r="K162" s="12" t="s">
        <v>142</v>
      </c>
      <c r="L162" s="12"/>
      <c r="M162" s="129">
        <v>0.1</v>
      </c>
      <c r="N162" s="142">
        <f t="shared" si="15"/>
        <v>124.14864000000001</v>
      </c>
      <c r="O162" s="128">
        <f t="shared" si="16"/>
        <v>41.382880000000007</v>
      </c>
      <c r="P162" s="159">
        <f t="shared" si="17"/>
        <v>124.1</v>
      </c>
      <c r="Q162" s="160">
        <f t="shared" si="18"/>
        <v>41.4</v>
      </c>
    </row>
    <row r="163" spans="1:17" ht="46.5" thickTop="1" thickBot="1">
      <c r="A163" s="15" t="s">
        <v>171</v>
      </c>
      <c r="B163" s="166">
        <v>402.4</v>
      </c>
      <c r="C163" s="20" t="s">
        <v>74</v>
      </c>
      <c r="D163" s="10">
        <f t="shared" si="20"/>
        <v>13.413333333333332</v>
      </c>
      <c r="E163" s="3">
        <v>0.5</v>
      </c>
      <c r="F163" s="98">
        <v>0.5</v>
      </c>
      <c r="G163" s="109">
        <f t="shared" si="13"/>
        <v>9.9999999999999978E-2</v>
      </c>
      <c r="H163" s="109">
        <v>9.9999999999999978E-2</v>
      </c>
      <c r="I163" s="109">
        <v>0.5</v>
      </c>
      <c r="J163" s="113">
        <f t="shared" si="14"/>
        <v>9.9999999999999978E-2</v>
      </c>
      <c r="K163" s="12" t="s">
        <v>142</v>
      </c>
      <c r="L163" s="12"/>
      <c r="M163" s="129">
        <v>9.9999999999999978E-2</v>
      </c>
      <c r="N163" s="142">
        <f t="shared" si="15"/>
        <v>247.87840000000006</v>
      </c>
      <c r="O163" s="128">
        <f t="shared" si="16"/>
        <v>49.575679999999991</v>
      </c>
      <c r="P163" s="159">
        <f t="shared" si="17"/>
        <v>247.9</v>
      </c>
      <c r="Q163" s="160">
        <f t="shared" si="18"/>
        <v>49.6</v>
      </c>
    </row>
    <row r="164" spans="1:17" ht="46.5" thickTop="1" thickBot="1">
      <c r="A164" s="12" t="s">
        <v>172</v>
      </c>
      <c r="B164" s="166">
        <v>367.4</v>
      </c>
      <c r="C164" s="10" t="s">
        <v>74</v>
      </c>
      <c r="D164" s="10">
        <f t="shared" si="20"/>
        <v>12.246666666666666</v>
      </c>
      <c r="E164" s="11">
        <v>0.7</v>
      </c>
      <c r="F164" s="27">
        <v>0.7</v>
      </c>
      <c r="G164" s="109">
        <f t="shared" si="13"/>
        <v>0.29999999999999993</v>
      </c>
      <c r="H164" s="109">
        <v>0.29999999999999993</v>
      </c>
      <c r="I164" s="109">
        <v>0.7</v>
      </c>
      <c r="J164" s="113">
        <f t="shared" si="14"/>
        <v>0.29999999999999993</v>
      </c>
      <c r="K164" s="12" t="s">
        <v>160</v>
      </c>
      <c r="L164" s="12"/>
      <c r="M164" s="129">
        <v>0.29999999999999993</v>
      </c>
      <c r="N164" s="142">
        <f t="shared" si="15"/>
        <v>316.84575999999998</v>
      </c>
      <c r="O164" s="128">
        <f t="shared" si="16"/>
        <v>135.79103999999998</v>
      </c>
      <c r="P164" s="159">
        <f t="shared" si="17"/>
        <v>316.8</v>
      </c>
      <c r="Q164" s="160">
        <f t="shared" si="18"/>
        <v>135.80000000000001</v>
      </c>
    </row>
    <row r="165" spans="1:17" ht="46.5" thickTop="1" thickBot="1">
      <c r="A165" s="12" t="s">
        <v>172</v>
      </c>
      <c r="B165" s="166">
        <v>545.9</v>
      </c>
      <c r="C165" s="10" t="s">
        <v>74</v>
      </c>
      <c r="D165" s="10">
        <f t="shared" si="20"/>
        <v>18.196666666666665</v>
      </c>
      <c r="E165" s="11">
        <v>0.7</v>
      </c>
      <c r="F165" s="27">
        <v>0.7</v>
      </c>
      <c r="G165" s="109">
        <f t="shared" si="13"/>
        <v>0.29999999999999993</v>
      </c>
      <c r="H165" s="109">
        <v>0.29999999999999993</v>
      </c>
      <c r="I165" s="109">
        <v>0.7</v>
      </c>
      <c r="J165" s="113">
        <f t="shared" si="14"/>
        <v>0.29999999999999993</v>
      </c>
      <c r="K165" s="12" t="s">
        <v>160</v>
      </c>
      <c r="L165" s="12"/>
      <c r="M165" s="129">
        <v>0.29999999999999993</v>
      </c>
      <c r="N165" s="142">
        <f t="shared" si="15"/>
        <v>470.78415999999999</v>
      </c>
      <c r="O165" s="128">
        <f t="shared" si="16"/>
        <v>201.76463999999996</v>
      </c>
      <c r="P165" s="159">
        <f t="shared" si="17"/>
        <v>470.8</v>
      </c>
      <c r="Q165" s="160">
        <f t="shared" si="18"/>
        <v>201.8</v>
      </c>
    </row>
    <row r="166" spans="1:17" ht="46.5" thickTop="1" thickBot="1">
      <c r="A166" s="12" t="s">
        <v>172</v>
      </c>
      <c r="B166" s="166">
        <v>667.3</v>
      </c>
      <c r="C166" s="10" t="s">
        <v>74</v>
      </c>
      <c r="D166" s="10">
        <f t="shared" si="20"/>
        <v>22.243333333333332</v>
      </c>
      <c r="E166" s="11">
        <v>0.75</v>
      </c>
      <c r="F166" s="27">
        <v>0.75</v>
      </c>
      <c r="G166" s="109">
        <f t="shared" si="13"/>
        <v>0.35</v>
      </c>
      <c r="H166" s="109">
        <v>0.35</v>
      </c>
      <c r="I166" s="109">
        <v>0.75</v>
      </c>
      <c r="J166" s="113">
        <f t="shared" si="14"/>
        <v>0.35</v>
      </c>
      <c r="K166" s="12" t="s">
        <v>160</v>
      </c>
      <c r="L166" s="12"/>
      <c r="M166" s="129">
        <v>0.35</v>
      </c>
      <c r="N166" s="142">
        <f t="shared" si="15"/>
        <v>616.5852000000001</v>
      </c>
      <c r="O166" s="128">
        <f t="shared" si="16"/>
        <v>287.73975999999999</v>
      </c>
      <c r="P166" s="159">
        <f t="shared" si="17"/>
        <v>616.6</v>
      </c>
      <c r="Q166" s="160">
        <f t="shared" si="18"/>
        <v>287.7</v>
      </c>
    </row>
    <row r="167" spans="1:17" ht="46.5" thickTop="1" thickBot="1">
      <c r="A167" s="12" t="s">
        <v>172</v>
      </c>
      <c r="B167" s="166">
        <v>626.9</v>
      </c>
      <c r="C167" s="10" t="s">
        <v>74</v>
      </c>
      <c r="D167" s="10">
        <f t="shared" si="20"/>
        <v>20.896666666666665</v>
      </c>
      <c r="E167" s="11">
        <v>0.7</v>
      </c>
      <c r="F167" s="27">
        <v>0.7</v>
      </c>
      <c r="G167" s="109">
        <f t="shared" si="13"/>
        <v>0.29999999999999993</v>
      </c>
      <c r="H167" s="109">
        <v>0.29999999999999993</v>
      </c>
      <c r="I167" s="109">
        <v>0.7</v>
      </c>
      <c r="J167" s="113">
        <f t="shared" si="14"/>
        <v>0.29999999999999993</v>
      </c>
      <c r="K167" s="12" t="s">
        <v>160</v>
      </c>
      <c r="L167" s="12"/>
      <c r="M167" s="129">
        <v>0.29999999999999993</v>
      </c>
      <c r="N167" s="142">
        <f t="shared" si="15"/>
        <v>540.6385600000001</v>
      </c>
      <c r="O167" s="128">
        <f t="shared" si="16"/>
        <v>231.70224000000002</v>
      </c>
      <c r="P167" s="159">
        <f t="shared" si="17"/>
        <v>540.6</v>
      </c>
      <c r="Q167" s="160">
        <f t="shared" si="18"/>
        <v>231.7</v>
      </c>
    </row>
    <row r="168" spans="1:17" ht="46.5" thickTop="1" thickBot="1">
      <c r="A168" s="12" t="s">
        <v>173</v>
      </c>
      <c r="B168" s="166">
        <v>253.3</v>
      </c>
      <c r="C168" s="19" t="s">
        <v>74</v>
      </c>
      <c r="D168" s="10">
        <f t="shared" si="20"/>
        <v>8.4433333333333334</v>
      </c>
      <c r="E168" s="11">
        <v>0.6</v>
      </c>
      <c r="F168" s="27">
        <v>0.6</v>
      </c>
      <c r="G168" s="109">
        <f t="shared" si="13"/>
        <v>0.19999999999999996</v>
      </c>
      <c r="H168" s="109">
        <v>0.19999999999999996</v>
      </c>
      <c r="I168" s="109">
        <v>0.6</v>
      </c>
      <c r="J168" s="113">
        <f t="shared" si="14"/>
        <v>0.19999999999999996</v>
      </c>
      <c r="K168" s="12" t="s">
        <v>160</v>
      </c>
      <c r="L168" s="12"/>
      <c r="M168" s="129">
        <v>0.19999999999999996</v>
      </c>
      <c r="N168" s="142">
        <f t="shared" si="15"/>
        <v>187.23936000000003</v>
      </c>
      <c r="O168" s="128">
        <f t="shared" si="16"/>
        <v>62.413119999999999</v>
      </c>
      <c r="P168" s="159">
        <f t="shared" si="17"/>
        <v>187.2</v>
      </c>
      <c r="Q168" s="160">
        <f t="shared" si="18"/>
        <v>62.4</v>
      </c>
    </row>
    <row r="169" spans="1:17" ht="46.5" thickTop="1" thickBot="1">
      <c r="A169" s="12" t="s">
        <v>173</v>
      </c>
      <c r="B169" s="166">
        <v>253.3</v>
      </c>
      <c r="C169" s="19" t="s">
        <v>74</v>
      </c>
      <c r="D169" s="10">
        <f t="shared" si="20"/>
        <v>8.4433333333333334</v>
      </c>
      <c r="E169" s="11">
        <v>0.55000000000000004</v>
      </c>
      <c r="F169" s="27">
        <v>0.55000000000000004</v>
      </c>
      <c r="G169" s="109">
        <f t="shared" si="13"/>
        <v>0.15000000000000002</v>
      </c>
      <c r="H169" s="109">
        <v>0.15000000000000002</v>
      </c>
      <c r="I169" s="109">
        <v>0.55000000000000004</v>
      </c>
      <c r="J169" s="113">
        <f t="shared" si="14"/>
        <v>0.15000000000000002</v>
      </c>
      <c r="K169" s="12" t="s">
        <v>160</v>
      </c>
      <c r="L169" s="12"/>
      <c r="M169" s="129">
        <v>0.15000000000000002</v>
      </c>
      <c r="N169" s="142">
        <f t="shared" si="15"/>
        <v>171.63608000000005</v>
      </c>
      <c r="O169" s="128">
        <f t="shared" si="16"/>
        <v>46.809840000000015</v>
      </c>
      <c r="P169" s="159">
        <f t="shared" si="17"/>
        <v>171.6</v>
      </c>
      <c r="Q169" s="160">
        <f t="shared" si="18"/>
        <v>46.8</v>
      </c>
    </row>
    <row r="170" spans="1:17" ht="46.5" thickTop="1" thickBot="1">
      <c r="A170" s="12" t="s">
        <v>173</v>
      </c>
      <c r="B170" s="166">
        <v>417.3</v>
      </c>
      <c r="C170" s="19" t="s">
        <v>74</v>
      </c>
      <c r="D170" s="10">
        <f t="shared" si="20"/>
        <v>13.91</v>
      </c>
      <c r="E170" s="11">
        <v>0.6</v>
      </c>
      <c r="F170" s="27">
        <v>0.6</v>
      </c>
      <c r="G170" s="109">
        <f t="shared" si="13"/>
        <v>0.19999999999999996</v>
      </c>
      <c r="H170" s="109">
        <v>0.19999999999999996</v>
      </c>
      <c r="I170" s="109">
        <v>0.6</v>
      </c>
      <c r="J170" s="113">
        <f t="shared" si="14"/>
        <v>0.19999999999999996</v>
      </c>
      <c r="K170" s="12" t="s">
        <v>160</v>
      </c>
      <c r="L170" s="12"/>
      <c r="M170" s="129">
        <v>0.19999999999999996</v>
      </c>
      <c r="N170" s="142">
        <f t="shared" si="15"/>
        <v>308.46816000000007</v>
      </c>
      <c r="O170" s="128">
        <f t="shared" si="16"/>
        <v>102.82271999999999</v>
      </c>
      <c r="P170" s="159">
        <f t="shared" si="17"/>
        <v>308.5</v>
      </c>
      <c r="Q170" s="160">
        <f t="shared" si="18"/>
        <v>102.8</v>
      </c>
    </row>
    <row r="171" spans="1:17" ht="46.5" thickTop="1" thickBot="1">
      <c r="A171" s="12" t="s">
        <v>173</v>
      </c>
      <c r="B171" s="166">
        <v>442.5</v>
      </c>
      <c r="C171" s="19" t="s">
        <v>74</v>
      </c>
      <c r="D171" s="10">
        <f t="shared" si="20"/>
        <v>14.75</v>
      </c>
      <c r="E171" s="11">
        <v>0.6</v>
      </c>
      <c r="F171" s="27">
        <v>0.6</v>
      </c>
      <c r="G171" s="109">
        <f t="shared" si="13"/>
        <v>0.19999999999999996</v>
      </c>
      <c r="H171" s="109">
        <v>0.19999999999999996</v>
      </c>
      <c r="I171" s="109">
        <v>0.6</v>
      </c>
      <c r="J171" s="113">
        <f t="shared" si="14"/>
        <v>0.19999999999999996</v>
      </c>
      <c r="K171" s="12" t="s">
        <v>160</v>
      </c>
      <c r="L171" s="12"/>
      <c r="M171" s="129">
        <v>0.19999999999999996</v>
      </c>
      <c r="N171" s="142">
        <f t="shared" si="15"/>
        <v>327.09600000000006</v>
      </c>
      <c r="O171" s="128">
        <f t="shared" si="16"/>
        <v>109.032</v>
      </c>
      <c r="P171" s="159">
        <f t="shared" si="17"/>
        <v>327.10000000000002</v>
      </c>
      <c r="Q171" s="160">
        <f t="shared" si="18"/>
        <v>109</v>
      </c>
    </row>
    <row r="172" spans="1:17" ht="46.5" thickTop="1" thickBot="1">
      <c r="A172" s="12" t="s">
        <v>174</v>
      </c>
      <c r="B172" s="166">
        <v>347.3</v>
      </c>
      <c r="C172" s="9" t="s">
        <v>74</v>
      </c>
      <c r="D172" s="27">
        <f t="shared" si="20"/>
        <v>11.576666666666666</v>
      </c>
      <c r="E172" s="11">
        <v>0.7</v>
      </c>
      <c r="F172" s="27">
        <v>0.7</v>
      </c>
      <c r="G172" s="109">
        <f t="shared" si="13"/>
        <v>0.29999999999999993</v>
      </c>
      <c r="H172" s="109">
        <v>0.29999999999999993</v>
      </c>
      <c r="I172" s="109">
        <v>0.7</v>
      </c>
      <c r="J172" s="113">
        <f t="shared" si="14"/>
        <v>0.29999999999999993</v>
      </c>
      <c r="K172" s="12" t="s">
        <v>160</v>
      </c>
      <c r="L172" s="12"/>
      <c r="M172" s="129">
        <v>0.29999999999999993</v>
      </c>
      <c r="N172" s="142">
        <f t="shared" si="15"/>
        <v>299.51152000000008</v>
      </c>
      <c r="O172" s="128">
        <f t="shared" si="16"/>
        <v>128.36207999999999</v>
      </c>
      <c r="P172" s="159">
        <f t="shared" si="17"/>
        <v>299.5</v>
      </c>
      <c r="Q172" s="160">
        <f t="shared" si="18"/>
        <v>128.4</v>
      </c>
    </row>
    <row r="173" spans="1:17" ht="46.5" thickTop="1" thickBot="1">
      <c r="A173" s="12" t="s">
        <v>174</v>
      </c>
      <c r="B173" s="166">
        <v>531.9</v>
      </c>
      <c r="C173" s="9" t="s">
        <v>74</v>
      </c>
      <c r="D173" s="27">
        <f t="shared" si="20"/>
        <v>17.73</v>
      </c>
      <c r="E173" s="11">
        <v>0.65</v>
      </c>
      <c r="F173" s="27">
        <v>0.65</v>
      </c>
      <c r="G173" s="109">
        <f t="shared" si="13"/>
        <v>0.25</v>
      </c>
      <c r="H173" s="109">
        <v>0.25</v>
      </c>
      <c r="I173" s="109">
        <v>0.65</v>
      </c>
      <c r="J173" s="113">
        <f t="shared" si="14"/>
        <v>0.25</v>
      </c>
      <c r="K173" s="12" t="s">
        <v>160</v>
      </c>
      <c r="L173" s="12"/>
      <c r="M173" s="129">
        <v>0.25</v>
      </c>
      <c r="N173" s="142">
        <f t="shared" si="15"/>
        <v>425.9455200000001</v>
      </c>
      <c r="O173" s="128">
        <f t="shared" si="16"/>
        <v>163.82520000000002</v>
      </c>
      <c r="P173" s="159">
        <f t="shared" si="17"/>
        <v>425.9</v>
      </c>
      <c r="Q173" s="160">
        <f t="shared" si="18"/>
        <v>163.80000000000001</v>
      </c>
    </row>
    <row r="174" spans="1:17" ht="46.5" thickTop="1" thickBot="1">
      <c r="A174" s="12" t="s">
        <v>175</v>
      </c>
      <c r="B174" s="166">
        <v>253.3</v>
      </c>
      <c r="C174" s="10" t="s">
        <v>74</v>
      </c>
      <c r="D174" s="27">
        <f t="shared" si="20"/>
        <v>8.4433333333333334</v>
      </c>
      <c r="E174" s="11">
        <v>0.6</v>
      </c>
      <c r="F174" s="27">
        <v>0.6</v>
      </c>
      <c r="G174" s="109">
        <f t="shared" si="13"/>
        <v>0.19999999999999996</v>
      </c>
      <c r="H174" s="109">
        <v>0.19999999999999996</v>
      </c>
      <c r="I174" s="109">
        <v>0.6</v>
      </c>
      <c r="J174" s="113">
        <f t="shared" si="14"/>
        <v>0.19999999999999996</v>
      </c>
      <c r="K174" s="12" t="s">
        <v>160</v>
      </c>
      <c r="L174" s="12"/>
      <c r="M174" s="129">
        <v>0.19999999999999996</v>
      </c>
      <c r="N174" s="142">
        <f t="shared" si="15"/>
        <v>187.23936000000003</v>
      </c>
      <c r="O174" s="128">
        <f t="shared" si="16"/>
        <v>62.413119999999999</v>
      </c>
      <c r="P174" s="159">
        <f t="shared" si="17"/>
        <v>187.2</v>
      </c>
      <c r="Q174" s="160">
        <f t="shared" si="18"/>
        <v>62.4</v>
      </c>
    </row>
    <row r="175" spans="1:17" ht="46.5" thickTop="1" thickBot="1">
      <c r="A175" s="12" t="s">
        <v>175</v>
      </c>
      <c r="B175" s="166">
        <v>253.3</v>
      </c>
      <c r="C175" s="10" t="s">
        <v>74</v>
      </c>
      <c r="D175" s="27">
        <f t="shared" si="20"/>
        <v>8.4433333333333334</v>
      </c>
      <c r="E175" s="11">
        <v>0.55000000000000004</v>
      </c>
      <c r="F175" s="27">
        <v>0.55000000000000004</v>
      </c>
      <c r="G175" s="109">
        <f t="shared" si="13"/>
        <v>0.15000000000000002</v>
      </c>
      <c r="H175" s="109">
        <v>0.15000000000000002</v>
      </c>
      <c r="I175" s="109">
        <v>0.55000000000000004</v>
      </c>
      <c r="J175" s="113">
        <f t="shared" si="14"/>
        <v>0.15000000000000002</v>
      </c>
      <c r="K175" s="12" t="s">
        <v>160</v>
      </c>
      <c r="L175" s="12"/>
      <c r="M175" s="129">
        <v>0.15000000000000002</v>
      </c>
      <c r="N175" s="142">
        <f t="shared" si="15"/>
        <v>171.63608000000005</v>
      </c>
      <c r="O175" s="128">
        <f t="shared" si="16"/>
        <v>46.809840000000015</v>
      </c>
      <c r="P175" s="159">
        <f t="shared" si="17"/>
        <v>171.6</v>
      </c>
      <c r="Q175" s="160">
        <f t="shared" si="18"/>
        <v>46.8</v>
      </c>
    </row>
    <row r="176" spans="1:17" ht="46.5" thickTop="1" thickBot="1">
      <c r="A176" s="12" t="s">
        <v>175</v>
      </c>
      <c r="B176" s="166">
        <v>417.3</v>
      </c>
      <c r="C176" s="10" t="s">
        <v>74</v>
      </c>
      <c r="D176" s="27">
        <f t="shared" si="20"/>
        <v>13.91</v>
      </c>
      <c r="E176" s="11">
        <v>0.6</v>
      </c>
      <c r="F176" s="27">
        <v>0.6</v>
      </c>
      <c r="G176" s="109">
        <f t="shared" si="13"/>
        <v>0.19999999999999996</v>
      </c>
      <c r="H176" s="109">
        <v>0.19999999999999996</v>
      </c>
      <c r="I176" s="109">
        <v>0.6</v>
      </c>
      <c r="J176" s="113">
        <f t="shared" si="14"/>
        <v>0.19999999999999996</v>
      </c>
      <c r="K176" s="12" t="s">
        <v>160</v>
      </c>
      <c r="L176" s="12"/>
      <c r="M176" s="129">
        <v>0.19999999999999996</v>
      </c>
      <c r="N176" s="142">
        <f t="shared" si="15"/>
        <v>308.46816000000007</v>
      </c>
      <c r="O176" s="128">
        <f t="shared" si="16"/>
        <v>102.82271999999999</v>
      </c>
      <c r="P176" s="159">
        <f t="shared" si="17"/>
        <v>308.5</v>
      </c>
      <c r="Q176" s="160">
        <f t="shared" si="18"/>
        <v>102.8</v>
      </c>
    </row>
    <row r="177" spans="1:17" ht="46.5" thickTop="1" thickBot="1">
      <c r="A177" s="12" t="s">
        <v>175</v>
      </c>
      <c r="B177" s="166">
        <v>442.5</v>
      </c>
      <c r="C177" s="10" t="s">
        <v>74</v>
      </c>
      <c r="D177" s="27">
        <f t="shared" si="20"/>
        <v>14.75</v>
      </c>
      <c r="E177" s="11">
        <v>0.6</v>
      </c>
      <c r="F177" s="27">
        <v>0.6</v>
      </c>
      <c r="G177" s="109">
        <f t="shared" si="13"/>
        <v>0.19999999999999996</v>
      </c>
      <c r="H177" s="109">
        <v>0.19999999999999996</v>
      </c>
      <c r="I177" s="109">
        <v>0.6</v>
      </c>
      <c r="J177" s="113">
        <f t="shared" si="14"/>
        <v>0.19999999999999996</v>
      </c>
      <c r="K177" s="12" t="s">
        <v>160</v>
      </c>
      <c r="L177" s="12"/>
      <c r="M177" s="129">
        <v>0.19999999999999996</v>
      </c>
      <c r="N177" s="142">
        <f t="shared" si="15"/>
        <v>327.09600000000006</v>
      </c>
      <c r="O177" s="128">
        <f t="shared" si="16"/>
        <v>109.032</v>
      </c>
      <c r="P177" s="159">
        <f t="shared" si="17"/>
        <v>327.10000000000002</v>
      </c>
      <c r="Q177" s="160">
        <f t="shared" si="18"/>
        <v>109</v>
      </c>
    </row>
    <row r="178" spans="1:17" ht="46.5" thickTop="1" thickBot="1">
      <c r="A178" s="12" t="s">
        <v>176</v>
      </c>
      <c r="B178" s="167">
        <v>253.3</v>
      </c>
      <c r="C178" s="9" t="s">
        <v>74</v>
      </c>
      <c r="D178" s="10">
        <f>+B178/30*1</f>
        <v>8.4433333333333334</v>
      </c>
      <c r="E178" s="11">
        <v>0.6</v>
      </c>
      <c r="F178" s="27">
        <v>0.6</v>
      </c>
      <c r="G178" s="109">
        <f t="shared" si="13"/>
        <v>0.19999999999999996</v>
      </c>
      <c r="H178" s="109">
        <v>0.19999999999999996</v>
      </c>
      <c r="I178" s="109">
        <v>0.6</v>
      </c>
      <c r="J178" s="113">
        <f t="shared" si="14"/>
        <v>0.19999999999999996</v>
      </c>
      <c r="K178" s="12" t="s">
        <v>160</v>
      </c>
      <c r="L178" s="12"/>
      <c r="M178" s="129">
        <v>0.19999999999999996</v>
      </c>
      <c r="N178" s="142">
        <f t="shared" si="15"/>
        <v>187.23936000000003</v>
      </c>
      <c r="O178" s="128">
        <f t="shared" si="16"/>
        <v>62.413119999999999</v>
      </c>
      <c r="P178" s="159">
        <f t="shared" si="17"/>
        <v>187.2</v>
      </c>
      <c r="Q178" s="160">
        <f t="shared" si="18"/>
        <v>62.4</v>
      </c>
    </row>
    <row r="179" spans="1:17" ht="46.5" thickTop="1" thickBot="1">
      <c r="A179" s="12" t="s">
        <v>176</v>
      </c>
      <c r="B179" s="167">
        <v>253.3</v>
      </c>
      <c r="C179" s="9" t="s">
        <v>74</v>
      </c>
      <c r="D179" s="10">
        <f>+B179/30*1</f>
        <v>8.4433333333333334</v>
      </c>
      <c r="E179" s="11">
        <v>0.55000000000000004</v>
      </c>
      <c r="F179" s="27">
        <v>0.55000000000000004</v>
      </c>
      <c r="G179" s="109">
        <f t="shared" si="13"/>
        <v>0.15000000000000002</v>
      </c>
      <c r="H179" s="109">
        <v>0.15000000000000002</v>
      </c>
      <c r="I179" s="109">
        <v>0.55000000000000004</v>
      </c>
      <c r="J179" s="113">
        <f t="shared" si="14"/>
        <v>0.15000000000000002</v>
      </c>
      <c r="K179" s="12" t="s">
        <v>160</v>
      </c>
      <c r="L179" s="12"/>
      <c r="M179" s="129">
        <v>0.15000000000000002</v>
      </c>
      <c r="N179" s="142">
        <f t="shared" si="15"/>
        <v>171.63608000000005</v>
      </c>
      <c r="O179" s="128">
        <f t="shared" si="16"/>
        <v>46.809840000000015</v>
      </c>
      <c r="P179" s="159">
        <f t="shared" si="17"/>
        <v>171.6</v>
      </c>
      <c r="Q179" s="160">
        <f t="shared" si="18"/>
        <v>46.8</v>
      </c>
    </row>
    <row r="180" spans="1:17" ht="46.5" thickTop="1" thickBot="1">
      <c r="A180" s="12" t="s">
        <v>176</v>
      </c>
      <c r="B180" s="167">
        <v>417.3</v>
      </c>
      <c r="C180" s="9" t="s">
        <v>74</v>
      </c>
      <c r="D180" s="10">
        <f>+B180/30*1</f>
        <v>13.91</v>
      </c>
      <c r="E180" s="11">
        <v>0.6</v>
      </c>
      <c r="F180" s="27">
        <v>0.6</v>
      </c>
      <c r="G180" s="109">
        <f t="shared" si="13"/>
        <v>0.19999999999999996</v>
      </c>
      <c r="H180" s="109">
        <v>0.19999999999999996</v>
      </c>
      <c r="I180" s="109">
        <v>0.6</v>
      </c>
      <c r="J180" s="113">
        <f t="shared" si="14"/>
        <v>0.19999999999999996</v>
      </c>
      <c r="K180" s="12" t="s">
        <v>160</v>
      </c>
      <c r="L180" s="12"/>
      <c r="M180" s="129">
        <v>0.19999999999999996</v>
      </c>
      <c r="N180" s="142">
        <f t="shared" si="15"/>
        <v>308.46816000000007</v>
      </c>
      <c r="O180" s="128">
        <f t="shared" si="16"/>
        <v>102.82271999999999</v>
      </c>
      <c r="P180" s="159">
        <f t="shared" si="17"/>
        <v>308.5</v>
      </c>
      <c r="Q180" s="160">
        <f t="shared" si="18"/>
        <v>102.8</v>
      </c>
    </row>
    <row r="181" spans="1:17" ht="46.5" thickTop="1" thickBot="1">
      <c r="A181" s="12" t="s">
        <v>176</v>
      </c>
      <c r="B181" s="167">
        <v>442.5</v>
      </c>
      <c r="C181" s="9" t="s">
        <v>74</v>
      </c>
      <c r="D181" s="10">
        <f>+B181/30*1</f>
        <v>14.75</v>
      </c>
      <c r="E181" s="11">
        <v>0.6</v>
      </c>
      <c r="F181" s="27">
        <v>0.6</v>
      </c>
      <c r="G181" s="109">
        <f t="shared" si="13"/>
        <v>0.19999999999999996</v>
      </c>
      <c r="H181" s="109">
        <v>0.19999999999999996</v>
      </c>
      <c r="I181" s="109">
        <v>0.6</v>
      </c>
      <c r="J181" s="113">
        <f t="shared" si="14"/>
        <v>0.19999999999999996</v>
      </c>
      <c r="K181" s="12" t="s">
        <v>160</v>
      </c>
      <c r="L181" s="12"/>
      <c r="M181" s="129">
        <v>0.19999999999999996</v>
      </c>
      <c r="N181" s="142">
        <f t="shared" si="15"/>
        <v>327.09600000000006</v>
      </c>
      <c r="O181" s="128">
        <f t="shared" si="16"/>
        <v>109.032</v>
      </c>
      <c r="P181" s="159">
        <f t="shared" si="17"/>
        <v>327.10000000000002</v>
      </c>
      <c r="Q181" s="160">
        <f t="shared" si="18"/>
        <v>109</v>
      </c>
    </row>
    <row r="182" spans="1:17" ht="46.5" thickTop="1" thickBot="1">
      <c r="A182" s="12" t="s">
        <v>177</v>
      </c>
      <c r="B182" s="167">
        <v>282.60000000000002</v>
      </c>
      <c r="C182" s="10" t="s">
        <v>74</v>
      </c>
      <c r="D182" s="10">
        <f>B182/30</f>
        <v>9.42</v>
      </c>
      <c r="E182" s="11">
        <v>0.6</v>
      </c>
      <c r="F182" s="27">
        <v>0.6</v>
      </c>
      <c r="G182" s="109">
        <f t="shared" si="13"/>
        <v>0.19999999999999996</v>
      </c>
      <c r="H182" s="109">
        <v>0.19999999999999996</v>
      </c>
      <c r="I182" s="109">
        <v>0.6</v>
      </c>
      <c r="J182" s="113">
        <f t="shared" si="14"/>
        <v>0.19999999999999996</v>
      </c>
      <c r="K182" s="12" t="s">
        <v>160</v>
      </c>
      <c r="L182" s="12"/>
      <c r="M182" s="129">
        <v>0.19999999999999996</v>
      </c>
      <c r="N182" s="142">
        <f t="shared" si="15"/>
        <v>208.89792000000003</v>
      </c>
      <c r="O182" s="128">
        <f t="shared" si="16"/>
        <v>69.632639999999995</v>
      </c>
      <c r="P182" s="159">
        <f t="shared" si="17"/>
        <v>208.9</v>
      </c>
      <c r="Q182" s="160">
        <f t="shared" si="18"/>
        <v>69.599999999999994</v>
      </c>
    </row>
    <row r="183" spans="1:17" ht="46.5" thickTop="1" thickBot="1">
      <c r="A183" s="12" t="s">
        <v>177</v>
      </c>
      <c r="B183" s="167">
        <v>419.9</v>
      </c>
      <c r="C183" s="10" t="s">
        <v>74</v>
      </c>
      <c r="D183" s="10">
        <f>B183/30</f>
        <v>13.996666666666666</v>
      </c>
      <c r="E183" s="11">
        <v>0.55000000000000004</v>
      </c>
      <c r="F183" s="27">
        <v>0.55000000000000004</v>
      </c>
      <c r="G183" s="109">
        <f t="shared" si="13"/>
        <v>0.15000000000000002</v>
      </c>
      <c r="H183" s="109">
        <v>0.15000000000000002</v>
      </c>
      <c r="I183" s="109">
        <v>0.55000000000000004</v>
      </c>
      <c r="J183" s="113">
        <f t="shared" si="14"/>
        <v>0.15000000000000002</v>
      </c>
      <c r="K183" s="12" t="s">
        <v>160</v>
      </c>
      <c r="L183" s="12"/>
      <c r="M183" s="129">
        <v>0.15000000000000002</v>
      </c>
      <c r="N183" s="142">
        <f t="shared" si="15"/>
        <v>284.52424000000008</v>
      </c>
      <c r="O183" s="128">
        <f t="shared" si="16"/>
        <v>77.597520000000017</v>
      </c>
      <c r="P183" s="159">
        <f t="shared" si="17"/>
        <v>284.5</v>
      </c>
      <c r="Q183" s="160">
        <f t="shared" si="18"/>
        <v>77.599999999999994</v>
      </c>
    </row>
    <row r="184" spans="1:17" ht="46.5" thickTop="1" thickBot="1">
      <c r="A184" s="12" t="s">
        <v>177</v>
      </c>
      <c r="B184" s="167">
        <v>513.29999999999995</v>
      </c>
      <c r="C184" s="10" t="s">
        <v>74</v>
      </c>
      <c r="D184" s="10">
        <f>B184/30</f>
        <v>17.11</v>
      </c>
      <c r="E184" s="11">
        <v>0.65</v>
      </c>
      <c r="F184" s="27">
        <v>0.65</v>
      </c>
      <c r="G184" s="109">
        <f t="shared" si="13"/>
        <v>0.25</v>
      </c>
      <c r="H184" s="109">
        <v>0.25</v>
      </c>
      <c r="I184" s="109">
        <v>0.65</v>
      </c>
      <c r="J184" s="113">
        <f t="shared" si="14"/>
        <v>0.25</v>
      </c>
      <c r="K184" s="12" t="s">
        <v>160</v>
      </c>
      <c r="L184" s="12"/>
      <c r="M184" s="129">
        <v>0.25</v>
      </c>
      <c r="N184" s="142">
        <f t="shared" si="15"/>
        <v>411.05064000000004</v>
      </c>
      <c r="O184" s="128">
        <f t="shared" si="16"/>
        <v>158.09639999999999</v>
      </c>
      <c r="P184" s="159">
        <f t="shared" si="17"/>
        <v>411.1</v>
      </c>
      <c r="Q184" s="160">
        <f t="shared" si="18"/>
        <v>158.1</v>
      </c>
    </row>
    <row r="185" spans="1:17" ht="46.5" thickTop="1" thickBot="1">
      <c r="A185" s="12" t="s">
        <v>177</v>
      </c>
      <c r="B185" s="167">
        <v>482.2</v>
      </c>
      <c r="C185" s="10" t="s">
        <v>74</v>
      </c>
      <c r="D185" s="10">
        <f>B185/30</f>
        <v>16.073333333333334</v>
      </c>
      <c r="E185" s="11">
        <v>0.6</v>
      </c>
      <c r="F185" s="27">
        <v>0.6</v>
      </c>
      <c r="G185" s="109">
        <f t="shared" si="13"/>
        <v>0.19999999999999996</v>
      </c>
      <c r="H185" s="109">
        <v>0.19999999999999996</v>
      </c>
      <c r="I185" s="109">
        <v>0.6</v>
      </c>
      <c r="J185" s="113">
        <f t="shared" si="14"/>
        <v>0.19999999999999996</v>
      </c>
      <c r="K185" s="12" t="s">
        <v>160</v>
      </c>
      <c r="L185" s="12"/>
      <c r="M185" s="129">
        <v>0.19999999999999996</v>
      </c>
      <c r="N185" s="142">
        <f t="shared" si="15"/>
        <v>356.44224000000008</v>
      </c>
      <c r="O185" s="128">
        <f t="shared" si="16"/>
        <v>118.81407999999998</v>
      </c>
      <c r="P185" s="159">
        <f t="shared" si="17"/>
        <v>356.4</v>
      </c>
      <c r="Q185" s="160">
        <f t="shared" si="18"/>
        <v>118.8</v>
      </c>
    </row>
    <row r="186" spans="1:17" ht="46.5" thickTop="1" thickBot="1">
      <c r="A186" s="12" t="s">
        <v>720</v>
      </c>
      <c r="B186" s="167">
        <v>253.3</v>
      </c>
      <c r="C186" s="10" t="s">
        <v>74</v>
      </c>
      <c r="D186" s="10">
        <f>B186/30</f>
        <v>8.4433333333333334</v>
      </c>
      <c r="E186" s="11">
        <v>0.6</v>
      </c>
      <c r="F186" s="27">
        <v>0.6</v>
      </c>
      <c r="G186" s="109">
        <f t="shared" si="13"/>
        <v>0.19999999999999996</v>
      </c>
      <c r="H186" s="109">
        <v>0.19999999999999996</v>
      </c>
      <c r="I186" s="109">
        <v>0.6</v>
      </c>
      <c r="J186" s="113">
        <f t="shared" si="14"/>
        <v>0.19999999999999996</v>
      </c>
      <c r="K186" s="12" t="s">
        <v>160</v>
      </c>
      <c r="L186" s="12"/>
      <c r="M186" s="129">
        <v>0.19999999999999996</v>
      </c>
      <c r="N186" s="142">
        <f t="shared" si="15"/>
        <v>187.23936000000003</v>
      </c>
      <c r="O186" s="128">
        <f t="shared" si="16"/>
        <v>62.413119999999999</v>
      </c>
      <c r="P186" s="159">
        <f t="shared" si="17"/>
        <v>187.2</v>
      </c>
      <c r="Q186" s="160">
        <f t="shared" si="18"/>
        <v>62.4</v>
      </c>
    </row>
    <row r="187" spans="1:17" ht="46.5" thickTop="1" thickBot="1">
      <c r="A187" s="12" t="s">
        <v>720</v>
      </c>
      <c r="B187" s="167">
        <v>253.3</v>
      </c>
      <c r="C187" s="10" t="s">
        <v>74</v>
      </c>
      <c r="D187" s="10">
        <f t="shared" ref="D187:D189" si="21">B187/30</f>
        <v>8.4433333333333334</v>
      </c>
      <c r="E187" s="11">
        <v>0.55000000000000004</v>
      </c>
      <c r="F187" s="27">
        <v>0.55000000000000004</v>
      </c>
      <c r="G187" s="109">
        <f t="shared" si="13"/>
        <v>0.15000000000000002</v>
      </c>
      <c r="H187" s="109">
        <v>0.15000000000000002</v>
      </c>
      <c r="I187" s="109">
        <v>0.55000000000000004</v>
      </c>
      <c r="J187" s="113">
        <f t="shared" si="14"/>
        <v>0.15000000000000002</v>
      </c>
      <c r="K187" s="12" t="s">
        <v>160</v>
      </c>
      <c r="L187" s="12"/>
      <c r="M187" s="129">
        <v>0.15000000000000002</v>
      </c>
      <c r="N187" s="142">
        <f t="shared" si="15"/>
        <v>171.63608000000005</v>
      </c>
      <c r="O187" s="128">
        <f t="shared" si="16"/>
        <v>46.809840000000015</v>
      </c>
      <c r="P187" s="159">
        <f t="shared" si="17"/>
        <v>171.6</v>
      </c>
      <c r="Q187" s="160">
        <f t="shared" si="18"/>
        <v>46.8</v>
      </c>
    </row>
    <row r="188" spans="1:17" ht="46.5" thickTop="1" thickBot="1">
      <c r="A188" s="12" t="s">
        <v>720</v>
      </c>
      <c r="B188" s="167">
        <v>417.3</v>
      </c>
      <c r="C188" s="10" t="s">
        <v>74</v>
      </c>
      <c r="D188" s="10">
        <f t="shared" si="21"/>
        <v>13.91</v>
      </c>
      <c r="E188" s="11">
        <v>0.6</v>
      </c>
      <c r="F188" s="27">
        <v>0.6</v>
      </c>
      <c r="G188" s="109">
        <f t="shared" si="13"/>
        <v>0.19999999999999996</v>
      </c>
      <c r="H188" s="109">
        <v>0.19999999999999996</v>
      </c>
      <c r="I188" s="109">
        <v>0.6</v>
      </c>
      <c r="J188" s="113">
        <f t="shared" si="14"/>
        <v>0.19999999999999996</v>
      </c>
      <c r="K188" s="12" t="s">
        <v>160</v>
      </c>
      <c r="L188" s="12"/>
      <c r="M188" s="129">
        <v>0.19999999999999996</v>
      </c>
      <c r="N188" s="142">
        <f t="shared" si="15"/>
        <v>308.46816000000007</v>
      </c>
      <c r="O188" s="128">
        <f t="shared" si="16"/>
        <v>102.82271999999999</v>
      </c>
      <c r="P188" s="159">
        <f t="shared" si="17"/>
        <v>308.5</v>
      </c>
      <c r="Q188" s="160">
        <f t="shared" si="18"/>
        <v>102.8</v>
      </c>
    </row>
    <row r="189" spans="1:17" ht="46.5" thickTop="1" thickBot="1">
      <c r="A189" s="12" t="s">
        <v>720</v>
      </c>
      <c r="B189" s="167">
        <v>442.5</v>
      </c>
      <c r="C189" s="10" t="s">
        <v>74</v>
      </c>
      <c r="D189" s="10">
        <f t="shared" si="21"/>
        <v>14.75</v>
      </c>
      <c r="E189" s="11">
        <v>0.6</v>
      </c>
      <c r="F189" s="27">
        <v>0.6</v>
      </c>
      <c r="G189" s="109">
        <f t="shared" si="13"/>
        <v>0.19999999999999996</v>
      </c>
      <c r="H189" s="109">
        <v>0.19999999999999996</v>
      </c>
      <c r="I189" s="109">
        <v>0.6</v>
      </c>
      <c r="J189" s="113">
        <f t="shared" si="14"/>
        <v>0.19999999999999996</v>
      </c>
      <c r="K189" s="12" t="s">
        <v>160</v>
      </c>
      <c r="L189" s="12"/>
      <c r="M189" s="129">
        <v>0.19999999999999996</v>
      </c>
      <c r="N189" s="142">
        <f t="shared" si="15"/>
        <v>327.09600000000006</v>
      </c>
      <c r="O189" s="128">
        <f t="shared" si="16"/>
        <v>109.032</v>
      </c>
      <c r="P189" s="159">
        <f t="shared" si="17"/>
        <v>327.10000000000002</v>
      </c>
      <c r="Q189" s="160">
        <f t="shared" si="18"/>
        <v>109</v>
      </c>
    </row>
    <row r="190" spans="1:17" ht="46.5" thickTop="1" thickBot="1">
      <c r="A190" s="12" t="s">
        <v>178</v>
      </c>
      <c r="B190" s="166">
        <v>426.9</v>
      </c>
      <c r="C190" s="10" t="s">
        <v>74</v>
      </c>
      <c r="D190" s="10">
        <f>B190/28</f>
        <v>15.24642857142857</v>
      </c>
      <c r="E190" s="1">
        <v>0.6</v>
      </c>
      <c r="F190" s="95">
        <v>0.6</v>
      </c>
      <c r="G190" s="109">
        <f t="shared" ref="G190:G253" si="22">IF(AND(F190&gt;=0.15, F190&lt;=0.45), 0.1, IF(AND(F190&gt;=0.5, F190&lt;=0.9), F190-0.4, F190))</f>
        <v>0.19999999999999996</v>
      </c>
      <c r="H190" s="109">
        <v>0.19999999999999996</v>
      </c>
      <c r="I190" s="109">
        <v>0.6</v>
      </c>
      <c r="J190" s="113">
        <f t="shared" ref="J190:J253" si="23">H190</f>
        <v>0.19999999999999996</v>
      </c>
      <c r="K190" s="12" t="s">
        <v>142</v>
      </c>
      <c r="L190" s="12"/>
      <c r="M190" s="129">
        <v>0.19999999999999996</v>
      </c>
      <c r="N190" s="142">
        <f t="shared" si="15"/>
        <v>315.56448</v>
      </c>
      <c r="O190" s="128">
        <f t="shared" si="16"/>
        <v>105.18816</v>
      </c>
      <c r="P190" s="159">
        <f t="shared" si="17"/>
        <v>315.60000000000002</v>
      </c>
      <c r="Q190" s="160">
        <f t="shared" si="18"/>
        <v>105.2</v>
      </c>
    </row>
    <row r="191" spans="1:17" ht="46.5" thickTop="1" thickBot="1">
      <c r="A191" s="12" t="s">
        <v>179</v>
      </c>
      <c r="B191" s="166">
        <v>471.7</v>
      </c>
      <c r="C191" s="10" t="s">
        <v>74</v>
      </c>
      <c r="D191" s="10">
        <f>B191/28</f>
        <v>16.846428571428572</v>
      </c>
      <c r="E191" s="1">
        <v>0.25</v>
      </c>
      <c r="F191" s="95">
        <v>0.25</v>
      </c>
      <c r="G191" s="109">
        <f t="shared" si="22"/>
        <v>0.1</v>
      </c>
      <c r="H191" s="109">
        <v>0.1</v>
      </c>
      <c r="I191" s="109">
        <v>0.25</v>
      </c>
      <c r="J191" s="113">
        <f t="shared" si="23"/>
        <v>0.1</v>
      </c>
      <c r="K191" s="12" t="s">
        <v>142</v>
      </c>
      <c r="L191" s="12"/>
      <c r="M191" s="129">
        <v>0.1</v>
      </c>
      <c r="N191" s="142">
        <f t="shared" si="15"/>
        <v>145.28360000000004</v>
      </c>
      <c r="O191" s="128">
        <f t="shared" si="16"/>
        <v>58.113440000000011</v>
      </c>
      <c r="P191" s="159">
        <f t="shared" si="17"/>
        <v>145.30000000000001</v>
      </c>
      <c r="Q191" s="160">
        <f t="shared" si="18"/>
        <v>58.1</v>
      </c>
    </row>
    <row r="192" spans="1:17" ht="46.5" thickTop="1" thickBot="1">
      <c r="A192" s="17" t="s">
        <v>180</v>
      </c>
      <c r="B192" s="167">
        <v>267.7</v>
      </c>
      <c r="C192" s="9" t="s">
        <v>74</v>
      </c>
      <c r="D192" s="10">
        <f>B192/30</f>
        <v>8.9233333333333338</v>
      </c>
      <c r="E192" s="11">
        <v>0.4</v>
      </c>
      <c r="F192" s="27">
        <v>0.4</v>
      </c>
      <c r="G192" s="109">
        <f t="shared" si="22"/>
        <v>0.1</v>
      </c>
      <c r="H192" s="109">
        <v>0.1</v>
      </c>
      <c r="I192" s="109">
        <v>0.4</v>
      </c>
      <c r="J192" s="113">
        <f t="shared" si="23"/>
        <v>0.1</v>
      </c>
      <c r="K192" s="12" t="s">
        <v>160</v>
      </c>
      <c r="L192" s="93"/>
      <c r="M192" s="132">
        <v>0.1</v>
      </c>
      <c r="N192" s="142">
        <f t="shared" si="15"/>
        <v>131.92256000000003</v>
      </c>
      <c r="O192" s="128">
        <f t="shared" si="16"/>
        <v>32.980640000000008</v>
      </c>
      <c r="P192" s="159">
        <f t="shared" si="17"/>
        <v>131.9</v>
      </c>
      <c r="Q192" s="160">
        <f t="shared" si="18"/>
        <v>33</v>
      </c>
    </row>
    <row r="193" spans="1:17" ht="46.5" thickTop="1" thickBot="1">
      <c r="A193" s="17" t="s">
        <v>180</v>
      </c>
      <c r="B193" s="167">
        <v>356.7</v>
      </c>
      <c r="C193" s="9" t="s">
        <v>74</v>
      </c>
      <c r="D193" s="10">
        <f>B193/30</f>
        <v>11.889999999999999</v>
      </c>
      <c r="E193" s="11">
        <v>0.4</v>
      </c>
      <c r="F193" s="27">
        <v>0.4</v>
      </c>
      <c r="G193" s="109">
        <f t="shared" si="22"/>
        <v>0.1</v>
      </c>
      <c r="H193" s="109">
        <v>0.1</v>
      </c>
      <c r="I193" s="109">
        <v>0.4</v>
      </c>
      <c r="J193" s="113">
        <f t="shared" si="23"/>
        <v>0.1</v>
      </c>
      <c r="K193" s="12" t="s">
        <v>160</v>
      </c>
      <c r="L193" s="93"/>
      <c r="M193" s="132">
        <v>0.1</v>
      </c>
      <c r="N193" s="142">
        <f t="shared" si="15"/>
        <v>175.78176000000005</v>
      </c>
      <c r="O193" s="128">
        <f t="shared" si="16"/>
        <v>43.945440000000012</v>
      </c>
      <c r="P193" s="159">
        <f t="shared" si="17"/>
        <v>175.8</v>
      </c>
      <c r="Q193" s="160">
        <f t="shared" si="18"/>
        <v>43.9</v>
      </c>
    </row>
    <row r="194" spans="1:17" ht="46.5" thickTop="1" thickBot="1">
      <c r="A194" s="17" t="s">
        <v>180</v>
      </c>
      <c r="B194" s="167">
        <v>396.4</v>
      </c>
      <c r="C194" s="9" t="s">
        <v>74</v>
      </c>
      <c r="D194" s="10">
        <f>B194/30</f>
        <v>13.213333333333333</v>
      </c>
      <c r="E194" s="11">
        <v>0.4</v>
      </c>
      <c r="F194" s="27">
        <v>0.4</v>
      </c>
      <c r="G194" s="109">
        <f t="shared" si="22"/>
        <v>0.1</v>
      </c>
      <c r="H194" s="109">
        <v>0.1</v>
      </c>
      <c r="I194" s="109">
        <v>0.4</v>
      </c>
      <c r="J194" s="113">
        <f t="shared" si="23"/>
        <v>0.1</v>
      </c>
      <c r="K194" s="12" t="s">
        <v>160</v>
      </c>
      <c r="L194" s="93"/>
      <c r="M194" s="132">
        <v>0.1</v>
      </c>
      <c r="N194" s="142">
        <f t="shared" si="15"/>
        <v>195.34592000000004</v>
      </c>
      <c r="O194" s="128">
        <f t="shared" si="16"/>
        <v>48.836480000000009</v>
      </c>
      <c r="P194" s="159">
        <f t="shared" si="17"/>
        <v>195.3</v>
      </c>
      <c r="Q194" s="160">
        <f t="shared" si="18"/>
        <v>48.8</v>
      </c>
    </row>
    <row r="195" spans="1:17" ht="46.5" thickTop="1" thickBot="1">
      <c r="A195" s="17" t="s">
        <v>180</v>
      </c>
      <c r="B195" s="167">
        <v>401.4</v>
      </c>
      <c r="C195" s="9" t="s">
        <v>74</v>
      </c>
      <c r="D195" s="10">
        <f>B195/30</f>
        <v>13.379999999999999</v>
      </c>
      <c r="E195" s="11">
        <v>0.4</v>
      </c>
      <c r="F195" s="27">
        <v>0.4</v>
      </c>
      <c r="G195" s="109">
        <f t="shared" si="22"/>
        <v>0.1</v>
      </c>
      <c r="H195" s="109">
        <v>0.1</v>
      </c>
      <c r="I195" s="109">
        <v>0.4</v>
      </c>
      <c r="J195" s="113">
        <f t="shared" si="23"/>
        <v>0.1</v>
      </c>
      <c r="K195" s="12" t="s">
        <v>160</v>
      </c>
      <c r="L195" s="93"/>
      <c r="M195" s="132">
        <v>0.1</v>
      </c>
      <c r="N195" s="142">
        <f t="shared" ref="N195:N258" si="24">B195*I195*1.12*1.1</f>
        <v>197.80992000000006</v>
      </c>
      <c r="O195" s="128">
        <f t="shared" ref="O195:O258" si="25">B195*M195*1.12*1.1</f>
        <v>49.452480000000016</v>
      </c>
      <c r="P195" s="159">
        <f t="shared" ref="P195:P258" si="26">ROUND(N195, 1)</f>
        <v>197.8</v>
      </c>
      <c r="Q195" s="160">
        <f t="shared" ref="Q195:Q258" si="27">ROUND(O195, 1)</f>
        <v>49.5</v>
      </c>
    </row>
    <row r="196" spans="1:17" ht="46.5" thickTop="1" thickBot="1">
      <c r="A196" s="12" t="s">
        <v>181</v>
      </c>
      <c r="B196" s="167">
        <v>332.9</v>
      </c>
      <c r="C196" s="9" t="s">
        <v>74</v>
      </c>
      <c r="D196" s="10">
        <f>B196/28</f>
        <v>11.889285714285714</v>
      </c>
      <c r="E196" s="2">
        <v>0.4</v>
      </c>
      <c r="F196" s="96">
        <v>0.4</v>
      </c>
      <c r="G196" s="109">
        <f t="shared" si="22"/>
        <v>0.1</v>
      </c>
      <c r="H196" s="109">
        <v>0.1</v>
      </c>
      <c r="I196" s="109">
        <v>0.4</v>
      </c>
      <c r="J196" s="113">
        <f t="shared" si="23"/>
        <v>0.1</v>
      </c>
      <c r="K196" s="12" t="s">
        <v>160</v>
      </c>
      <c r="L196" s="12"/>
      <c r="M196" s="129">
        <v>0.1</v>
      </c>
      <c r="N196" s="142">
        <f t="shared" si="24"/>
        <v>164.05312000000004</v>
      </c>
      <c r="O196" s="128">
        <f t="shared" si="25"/>
        <v>41.013280000000009</v>
      </c>
      <c r="P196" s="159">
        <f t="shared" si="26"/>
        <v>164.1</v>
      </c>
      <c r="Q196" s="160">
        <f t="shared" si="27"/>
        <v>41</v>
      </c>
    </row>
    <row r="197" spans="1:17" ht="46.5" thickTop="1" thickBot="1">
      <c r="A197" s="12" t="s">
        <v>181</v>
      </c>
      <c r="B197" s="167">
        <v>370</v>
      </c>
      <c r="C197" s="9" t="s">
        <v>74</v>
      </c>
      <c r="D197" s="10">
        <f>B197/28</f>
        <v>13.214285714285714</v>
      </c>
      <c r="E197" s="2">
        <v>0.4</v>
      </c>
      <c r="F197" s="96">
        <v>0.4</v>
      </c>
      <c r="G197" s="109">
        <f t="shared" si="22"/>
        <v>0.1</v>
      </c>
      <c r="H197" s="109">
        <v>0.1</v>
      </c>
      <c r="I197" s="109">
        <v>0.4</v>
      </c>
      <c r="J197" s="113">
        <f t="shared" si="23"/>
        <v>0.1</v>
      </c>
      <c r="K197" s="12" t="s">
        <v>160</v>
      </c>
      <c r="L197" s="12"/>
      <c r="M197" s="129">
        <v>0.1</v>
      </c>
      <c r="N197" s="142">
        <f t="shared" si="24"/>
        <v>182.33600000000004</v>
      </c>
      <c r="O197" s="128">
        <f t="shared" si="25"/>
        <v>45.58400000000001</v>
      </c>
      <c r="P197" s="159">
        <f t="shared" si="26"/>
        <v>182.3</v>
      </c>
      <c r="Q197" s="160">
        <f t="shared" si="27"/>
        <v>45.6</v>
      </c>
    </row>
    <row r="198" spans="1:17" ht="46.5" thickTop="1" thickBot="1">
      <c r="A198" s="12" t="s">
        <v>181</v>
      </c>
      <c r="B198" s="167">
        <v>374.6</v>
      </c>
      <c r="C198" s="9" t="s">
        <v>74</v>
      </c>
      <c r="D198" s="10">
        <f>B198/28</f>
        <v>13.37857142857143</v>
      </c>
      <c r="E198" s="2">
        <v>0.4</v>
      </c>
      <c r="F198" s="96">
        <v>0.4</v>
      </c>
      <c r="G198" s="109">
        <f t="shared" si="22"/>
        <v>0.1</v>
      </c>
      <c r="H198" s="109">
        <v>0.1</v>
      </c>
      <c r="I198" s="109">
        <v>0.4</v>
      </c>
      <c r="J198" s="113">
        <f t="shared" si="23"/>
        <v>0.1</v>
      </c>
      <c r="K198" s="12" t="s">
        <v>160</v>
      </c>
      <c r="L198" s="12"/>
      <c r="M198" s="129">
        <v>0.1</v>
      </c>
      <c r="N198" s="142">
        <f t="shared" si="24"/>
        <v>184.60288000000003</v>
      </c>
      <c r="O198" s="128">
        <f t="shared" si="25"/>
        <v>46.150720000000007</v>
      </c>
      <c r="P198" s="159">
        <f t="shared" si="26"/>
        <v>184.6</v>
      </c>
      <c r="Q198" s="160">
        <f t="shared" si="27"/>
        <v>46.2</v>
      </c>
    </row>
    <row r="199" spans="1:17" ht="46.5" thickTop="1" thickBot="1">
      <c r="A199" s="12" t="s">
        <v>181</v>
      </c>
      <c r="B199" s="167">
        <v>490.4</v>
      </c>
      <c r="C199" s="9" t="s">
        <v>74</v>
      </c>
      <c r="D199" s="10">
        <f>B199/28</f>
        <v>17.514285714285712</v>
      </c>
      <c r="E199" s="2">
        <v>0.4</v>
      </c>
      <c r="F199" s="96">
        <v>0.4</v>
      </c>
      <c r="G199" s="109">
        <f t="shared" si="22"/>
        <v>0.1</v>
      </c>
      <c r="H199" s="109">
        <v>0.1</v>
      </c>
      <c r="I199" s="109">
        <v>0.4</v>
      </c>
      <c r="J199" s="113">
        <f t="shared" si="23"/>
        <v>0.1</v>
      </c>
      <c r="K199" s="12" t="s">
        <v>160</v>
      </c>
      <c r="L199" s="12"/>
      <c r="M199" s="129">
        <v>0.1</v>
      </c>
      <c r="N199" s="142">
        <f t="shared" si="24"/>
        <v>241.66912000000005</v>
      </c>
      <c r="O199" s="128">
        <f t="shared" si="25"/>
        <v>60.417280000000012</v>
      </c>
      <c r="P199" s="159">
        <f t="shared" si="26"/>
        <v>241.7</v>
      </c>
      <c r="Q199" s="160">
        <f t="shared" si="27"/>
        <v>60.4</v>
      </c>
    </row>
    <row r="200" spans="1:17" ht="46.5" thickTop="1" thickBot="1">
      <c r="A200" s="12" t="s">
        <v>182</v>
      </c>
      <c r="B200" s="167">
        <v>267.7</v>
      </c>
      <c r="C200" s="9" t="s">
        <v>74</v>
      </c>
      <c r="D200" s="27">
        <f>B200/30</f>
        <v>8.9233333333333338</v>
      </c>
      <c r="E200" s="11">
        <v>0.4</v>
      </c>
      <c r="F200" s="27">
        <v>0.4</v>
      </c>
      <c r="G200" s="109">
        <f t="shared" si="22"/>
        <v>0.1</v>
      </c>
      <c r="H200" s="109">
        <v>0.1</v>
      </c>
      <c r="I200" s="109">
        <v>0.4</v>
      </c>
      <c r="J200" s="113">
        <f t="shared" si="23"/>
        <v>0.1</v>
      </c>
      <c r="K200" s="12" t="s">
        <v>160</v>
      </c>
      <c r="L200" s="12"/>
      <c r="M200" s="129">
        <v>0.1</v>
      </c>
      <c r="N200" s="142">
        <f t="shared" si="24"/>
        <v>131.92256000000003</v>
      </c>
      <c r="O200" s="128">
        <f t="shared" si="25"/>
        <v>32.980640000000008</v>
      </c>
      <c r="P200" s="159">
        <f t="shared" si="26"/>
        <v>131.9</v>
      </c>
      <c r="Q200" s="160">
        <f t="shared" si="27"/>
        <v>33</v>
      </c>
    </row>
    <row r="201" spans="1:17" ht="46.5" thickTop="1" thickBot="1">
      <c r="A201" s="12" t="s">
        <v>182</v>
      </c>
      <c r="B201" s="167">
        <v>356.7</v>
      </c>
      <c r="C201" s="9" t="s">
        <v>74</v>
      </c>
      <c r="D201" s="27">
        <f>B201/30</f>
        <v>11.889999999999999</v>
      </c>
      <c r="E201" s="3">
        <v>0.4</v>
      </c>
      <c r="F201" s="98">
        <v>0.4</v>
      </c>
      <c r="G201" s="109">
        <f t="shared" si="22"/>
        <v>0.1</v>
      </c>
      <c r="H201" s="109">
        <v>0.1</v>
      </c>
      <c r="I201" s="109">
        <v>0.4</v>
      </c>
      <c r="J201" s="113">
        <f t="shared" si="23"/>
        <v>0.1</v>
      </c>
      <c r="K201" s="12" t="s">
        <v>160</v>
      </c>
      <c r="L201" s="12"/>
      <c r="M201" s="129">
        <v>0.1</v>
      </c>
      <c r="N201" s="142">
        <f t="shared" si="24"/>
        <v>175.78176000000005</v>
      </c>
      <c r="O201" s="128">
        <f t="shared" si="25"/>
        <v>43.945440000000012</v>
      </c>
      <c r="P201" s="159">
        <f t="shared" si="26"/>
        <v>175.8</v>
      </c>
      <c r="Q201" s="160">
        <f t="shared" si="27"/>
        <v>43.9</v>
      </c>
    </row>
    <row r="202" spans="1:17" ht="46.5" thickTop="1" thickBot="1">
      <c r="A202" s="12" t="s">
        <v>182</v>
      </c>
      <c r="B202" s="167">
        <v>401.4</v>
      </c>
      <c r="C202" s="9" t="s">
        <v>74</v>
      </c>
      <c r="D202" s="27">
        <f>B202/30</f>
        <v>13.379999999999999</v>
      </c>
      <c r="E202" s="3">
        <v>0.4</v>
      </c>
      <c r="F202" s="98">
        <v>0.4</v>
      </c>
      <c r="G202" s="109">
        <f t="shared" si="22"/>
        <v>0.1</v>
      </c>
      <c r="H202" s="109">
        <v>0.1</v>
      </c>
      <c r="I202" s="109">
        <v>0.4</v>
      </c>
      <c r="J202" s="113">
        <f t="shared" si="23"/>
        <v>0.1</v>
      </c>
      <c r="K202" s="12" t="s">
        <v>160</v>
      </c>
      <c r="L202" s="12"/>
      <c r="M202" s="129">
        <v>0.1</v>
      </c>
      <c r="N202" s="142">
        <f t="shared" si="24"/>
        <v>197.80992000000006</v>
      </c>
      <c r="O202" s="128">
        <f t="shared" si="25"/>
        <v>49.452480000000016</v>
      </c>
      <c r="P202" s="159">
        <f t="shared" si="26"/>
        <v>197.8</v>
      </c>
      <c r="Q202" s="160">
        <f t="shared" si="27"/>
        <v>49.5</v>
      </c>
    </row>
    <row r="203" spans="1:17" ht="46.5" thickTop="1" thickBot="1">
      <c r="A203" s="41" t="s">
        <v>183</v>
      </c>
      <c r="B203" s="167">
        <v>356.7</v>
      </c>
      <c r="C203" s="9" t="s">
        <v>74</v>
      </c>
      <c r="D203" s="10">
        <f>+B203/30</f>
        <v>11.889999999999999</v>
      </c>
      <c r="E203" s="3">
        <v>0.4</v>
      </c>
      <c r="F203" s="98">
        <v>0.4</v>
      </c>
      <c r="G203" s="109">
        <f t="shared" si="22"/>
        <v>0.1</v>
      </c>
      <c r="H203" s="109">
        <v>0.1</v>
      </c>
      <c r="I203" s="109">
        <v>0.4</v>
      </c>
      <c r="J203" s="113">
        <f t="shared" si="23"/>
        <v>0.1</v>
      </c>
      <c r="K203" s="12" t="s">
        <v>160</v>
      </c>
      <c r="L203" s="12"/>
      <c r="M203" s="129">
        <v>0.1</v>
      </c>
      <c r="N203" s="142">
        <f t="shared" si="24"/>
        <v>175.78176000000005</v>
      </c>
      <c r="O203" s="128">
        <f t="shared" si="25"/>
        <v>43.945440000000012</v>
      </c>
      <c r="P203" s="159">
        <f t="shared" si="26"/>
        <v>175.8</v>
      </c>
      <c r="Q203" s="160">
        <f t="shared" si="27"/>
        <v>43.9</v>
      </c>
    </row>
    <row r="204" spans="1:17" ht="46.5" thickTop="1" thickBot="1">
      <c r="A204" s="41" t="s">
        <v>183</v>
      </c>
      <c r="B204" s="167">
        <v>396.4</v>
      </c>
      <c r="C204" s="9" t="s">
        <v>74</v>
      </c>
      <c r="D204" s="10">
        <f>+B204/30</f>
        <v>13.213333333333333</v>
      </c>
      <c r="E204" s="3">
        <v>0.4</v>
      </c>
      <c r="F204" s="98">
        <v>0.4</v>
      </c>
      <c r="G204" s="109">
        <f t="shared" si="22"/>
        <v>0.1</v>
      </c>
      <c r="H204" s="109">
        <v>0.1</v>
      </c>
      <c r="I204" s="109">
        <v>0.4</v>
      </c>
      <c r="J204" s="113">
        <f t="shared" si="23"/>
        <v>0.1</v>
      </c>
      <c r="K204" s="12" t="s">
        <v>160</v>
      </c>
      <c r="L204" s="12"/>
      <c r="M204" s="129">
        <v>0.1</v>
      </c>
      <c r="N204" s="142">
        <f t="shared" si="24"/>
        <v>195.34592000000004</v>
      </c>
      <c r="O204" s="128">
        <f t="shared" si="25"/>
        <v>48.836480000000009</v>
      </c>
      <c r="P204" s="159">
        <f t="shared" si="26"/>
        <v>195.3</v>
      </c>
      <c r="Q204" s="160">
        <f t="shared" si="27"/>
        <v>48.8</v>
      </c>
    </row>
    <row r="205" spans="1:17" ht="46.5" thickTop="1" thickBot="1">
      <c r="A205" s="41" t="s">
        <v>183</v>
      </c>
      <c r="B205" s="167">
        <v>401.4</v>
      </c>
      <c r="C205" s="9" t="s">
        <v>74</v>
      </c>
      <c r="D205" s="10">
        <f>+B205/30</f>
        <v>13.379999999999999</v>
      </c>
      <c r="E205" s="3">
        <v>0.4</v>
      </c>
      <c r="F205" s="98">
        <v>0.4</v>
      </c>
      <c r="G205" s="109">
        <f t="shared" si="22"/>
        <v>0.1</v>
      </c>
      <c r="H205" s="109">
        <v>0.1</v>
      </c>
      <c r="I205" s="109">
        <v>0.4</v>
      </c>
      <c r="J205" s="113">
        <f t="shared" si="23"/>
        <v>0.1</v>
      </c>
      <c r="K205" s="12" t="s">
        <v>160</v>
      </c>
      <c r="L205" s="12"/>
      <c r="M205" s="129">
        <v>0.1</v>
      </c>
      <c r="N205" s="142">
        <f t="shared" si="24"/>
        <v>197.80992000000006</v>
      </c>
      <c r="O205" s="128">
        <f t="shared" si="25"/>
        <v>49.452480000000016</v>
      </c>
      <c r="P205" s="159">
        <f t="shared" si="26"/>
        <v>197.8</v>
      </c>
      <c r="Q205" s="160">
        <f t="shared" si="27"/>
        <v>49.5</v>
      </c>
    </row>
    <row r="206" spans="1:17" ht="46.5" thickTop="1" thickBot="1">
      <c r="A206" s="12" t="s">
        <v>183</v>
      </c>
      <c r="B206" s="167">
        <v>525.4</v>
      </c>
      <c r="C206" s="9" t="s">
        <v>74</v>
      </c>
      <c r="D206" s="10">
        <f>+B206/30</f>
        <v>17.513333333333332</v>
      </c>
      <c r="E206" s="3">
        <v>0.4</v>
      </c>
      <c r="F206" s="98">
        <v>0.4</v>
      </c>
      <c r="G206" s="109">
        <f t="shared" si="22"/>
        <v>0.1</v>
      </c>
      <c r="H206" s="109">
        <v>0.1</v>
      </c>
      <c r="I206" s="109">
        <v>0.4</v>
      </c>
      <c r="J206" s="113">
        <f t="shared" si="23"/>
        <v>0.1</v>
      </c>
      <c r="K206" s="12" t="s">
        <v>160</v>
      </c>
      <c r="L206" s="12"/>
      <c r="M206" s="129">
        <v>0.1</v>
      </c>
      <c r="N206" s="142">
        <f t="shared" si="24"/>
        <v>258.91712000000007</v>
      </c>
      <c r="O206" s="128">
        <f t="shared" si="25"/>
        <v>64.729280000000017</v>
      </c>
      <c r="P206" s="159">
        <f t="shared" si="26"/>
        <v>258.89999999999998</v>
      </c>
      <c r="Q206" s="160">
        <f t="shared" si="27"/>
        <v>64.7</v>
      </c>
    </row>
    <row r="207" spans="1:17" ht="46.5" thickTop="1" thickBot="1">
      <c r="A207" s="57" t="s">
        <v>699</v>
      </c>
      <c r="B207" s="167">
        <v>267.7</v>
      </c>
      <c r="C207" s="9" t="s">
        <v>74</v>
      </c>
      <c r="D207" s="82">
        <f t="shared" ref="D207:D215" si="28">B207/30</f>
        <v>8.9233333333333338</v>
      </c>
      <c r="E207" s="11">
        <v>0.4</v>
      </c>
      <c r="F207" s="27">
        <v>0.4</v>
      </c>
      <c r="G207" s="109">
        <f t="shared" si="22"/>
        <v>0.1</v>
      </c>
      <c r="H207" s="109">
        <v>0.1</v>
      </c>
      <c r="I207" s="109">
        <v>0.4</v>
      </c>
      <c r="J207" s="113">
        <f t="shared" si="23"/>
        <v>0.1</v>
      </c>
      <c r="K207" s="12" t="s">
        <v>160</v>
      </c>
      <c r="L207" s="12"/>
      <c r="M207" s="129">
        <v>0.1</v>
      </c>
      <c r="N207" s="142">
        <f t="shared" si="24"/>
        <v>131.92256000000003</v>
      </c>
      <c r="O207" s="128">
        <f t="shared" si="25"/>
        <v>32.980640000000008</v>
      </c>
      <c r="P207" s="159">
        <f t="shared" si="26"/>
        <v>131.9</v>
      </c>
      <c r="Q207" s="160">
        <f t="shared" si="27"/>
        <v>33</v>
      </c>
    </row>
    <row r="208" spans="1:17" ht="46.5" thickTop="1" thickBot="1">
      <c r="A208" s="57" t="s">
        <v>699</v>
      </c>
      <c r="B208" s="167">
        <v>356.7</v>
      </c>
      <c r="C208" s="9" t="s">
        <v>74</v>
      </c>
      <c r="D208" s="82">
        <f t="shared" si="28"/>
        <v>11.889999999999999</v>
      </c>
      <c r="E208" s="3">
        <v>0.4</v>
      </c>
      <c r="F208" s="98">
        <v>0.4</v>
      </c>
      <c r="G208" s="109">
        <f t="shared" si="22"/>
        <v>0.1</v>
      </c>
      <c r="H208" s="109">
        <v>0.1</v>
      </c>
      <c r="I208" s="109">
        <v>0.4</v>
      </c>
      <c r="J208" s="113">
        <f t="shared" si="23"/>
        <v>0.1</v>
      </c>
      <c r="K208" s="12" t="s">
        <v>160</v>
      </c>
      <c r="L208" s="12"/>
      <c r="M208" s="129">
        <v>0.1</v>
      </c>
      <c r="N208" s="142">
        <f t="shared" si="24"/>
        <v>175.78176000000005</v>
      </c>
      <c r="O208" s="128">
        <f t="shared" si="25"/>
        <v>43.945440000000012</v>
      </c>
      <c r="P208" s="159">
        <f t="shared" si="26"/>
        <v>175.8</v>
      </c>
      <c r="Q208" s="160">
        <f t="shared" si="27"/>
        <v>43.9</v>
      </c>
    </row>
    <row r="209" spans="1:17" ht="46.5" thickTop="1" thickBot="1">
      <c r="A209" s="57" t="s">
        <v>699</v>
      </c>
      <c r="B209" s="167">
        <v>396.4</v>
      </c>
      <c r="C209" s="9" t="s">
        <v>74</v>
      </c>
      <c r="D209" s="82">
        <f t="shared" si="28"/>
        <v>13.213333333333333</v>
      </c>
      <c r="E209" s="3">
        <v>0.4</v>
      </c>
      <c r="F209" s="98">
        <v>0.4</v>
      </c>
      <c r="G209" s="109">
        <f t="shared" si="22"/>
        <v>0.1</v>
      </c>
      <c r="H209" s="109">
        <v>0.1</v>
      </c>
      <c r="I209" s="109">
        <v>0.4</v>
      </c>
      <c r="J209" s="113">
        <f t="shared" si="23"/>
        <v>0.1</v>
      </c>
      <c r="K209" s="12" t="s">
        <v>160</v>
      </c>
      <c r="L209" s="12"/>
      <c r="M209" s="129">
        <v>0.1</v>
      </c>
      <c r="N209" s="142">
        <f t="shared" si="24"/>
        <v>195.34592000000004</v>
      </c>
      <c r="O209" s="128">
        <f t="shared" si="25"/>
        <v>48.836480000000009</v>
      </c>
      <c r="P209" s="159">
        <f t="shared" si="26"/>
        <v>195.3</v>
      </c>
      <c r="Q209" s="160">
        <f t="shared" si="27"/>
        <v>48.8</v>
      </c>
    </row>
    <row r="210" spans="1:17" ht="46.5" thickTop="1" thickBot="1">
      <c r="A210" s="57" t="s">
        <v>699</v>
      </c>
      <c r="B210" s="167">
        <v>401.4</v>
      </c>
      <c r="C210" s="9" t="s">
        <v>74</v>
      </c>
      <c r="D210" s="82">
        <f t="shared" si="28"/>
        <v>13.379999999999999</v>
      </c>
      <c r="E210" s="3">
        <v>0.4</v>
      </c>
      <c r="F210" s="98">
        <v>0.4</v>
      </c>
      <c r="G210" s="109">
        <f t="shared" si="22"/>
        <v>0.1</v>
      </c>
      <c r="H210" s="109">
        <v>0.1</v>
      </c>
      <c r="I210" s="109">
        <v>0.4</v>
      </c>
      <c r="J210" s="113">
        <f t="shared" si="23"/>
        <v>0.1</v>
      </c>
      <c r="K210" s="12" t="s">
        <v>160</v>
      </c>
      <c r="L210" s="12"/>
      <c r="M210" s="129">
        <v>0.1</v>
      </c>
      <c r="N210" s="142">
        <f t="shared" si="24"/>
        <v>197.80992000000006</v>
      </c>
      <c r="O210" s="128">
        <f t="shared" si="25"/>
        <v>49.452480000000016</v>
      </c>
      <c r="P210" s="159">
        <f t="shared" si="26"/>
        <v>197.8</v>
      </c>
      <c r="Q210" s="160">
        <f t="shared" si="27"/>
        <v>49.5</v>
      </c>
    </row>
    <row r="211" spans="1:17" ht="46.5" thickTop="1" thickBot="1">
      <c r="A211" s="12" t="s">
        <v>184</v>
      </c>
      <c r="B211" s="166">
        <v>300</v>
      </c>
      <c r="C211" s="27" t="s">
        <v>74</v>
      </c>
      <c r="D211" s="10">
        <f t="shared" si="28"/>
        <v>10</v>
      </c>
      <c r="E211" s="11">
        <v>0.5</v>
      </c>
      <c r="F211" s="27">
        <v>0.5</v>
      </c>
      <c r="G211" s="109">
        <f t="shared" si="22"/>
        <v>9.9999999999999978E-2</v>
      </c>
      <c r="H211" s="109">
        <v>9.9999999999999978E-2</v>
      </c>
      <c r="I211" s="109">
        <v>0.5</v>
      </c>
      <c r="J211" s="113">
        <f t="shared" si="23"/>
        <v>9.9999999999999978E-2</v>
      </c>
      <c r="K211" s="12" t="s">
        <v>142</v>
      </c>
      <c r="L211" s="12"/>
      <c r="M211" s="129">
        <v>9.9999999999999978E-2</v>
      </c>
      <c r="N211" s="142">
        <f t="shared" si="24"/>
        <v>184.80000000000004</v>
      </c>
      <c r="O211" s="128">
        <f t="shared" si="25"/>
        <v>36.959999999999994</v>
      </c>
      <c r="P211" s="159">
        <f t="shared" si="26"/>
        <v>184.8</v>
      </c>
      <c r="Q211" s="160">
        <f t="shared" si="27"/>
        <v>37</v>
      </c>
    </row>
    <row r="212" spans="1:17" ht="46.5" thickTop="1" thickBot="1">
      <c r="A212" s="12" t="s">
        <v>184</v>
      </c>
      <c r="B212" s="166">
        <v>384.4</v>
      </c>
      <c r="C212" s="27" t="s">
        <v>74</v>
      </c>
      <c r="D212" s="10">
        <f t="shared" si="28"/>
        <v>12.813333333333333</v>
      </c>
      <c r="E212" s="11">
        <v>0.5</v>
      </c>
      <c r="F212" s="27">
        <v>0.5</v>
      </c>
      <c r="G212" s="109">
        <f t="shared" si="22"/>
        <v>9.9999999999999978E-2</v>
      </c>
      <c r="H212" s="109">
        <v>9.9999999999999978E-2</v>
      </c>
      <c r="I212" s="109">
        <v>0.5</v>
      </c>
      <c r="J212" s="113">
        <f t="shared" si="23"/>
        <v>9.9999999999999978E-2</v>
      </c>
      <c r="K212" s="12" t="s">
        <v>142</v>
      </c>
      <c r="L212" s="12"/>
      <c r="M212" s="129">
        <v>9.9999999999999978E-2</v>
      </c>
      <c r="N212" s="142">
        <f t="shared" si="24"/>
        <v>236.79040000000003</v>
      </c>
      <c r="O212" s="128">
        <f t="shared" si="25"/>
        <v>47.358079999999994</v>
      </c>
      <c r="P212" s="159">
        <f t="shared" si="26"/>
        <v>236.8</v>
      </c>
      <c r="Q212" s="160">
        <f t="shared" si="27"/>
        <v>47.4</v>
      </c>
    </row>
    <row r="213" spans="1:17" ht="46.5" thickTop="1" thickBot="1">
      <c r="A213" s="12" t="s">
        <v>184</v>
      </c>
      <c r="B213" s="166">
        <v>410</v>
      </c>
      <c r="C213" s="27" t="s">
        <v>74</v>
      </c>
      <c r="D213" s="10">
        <f t="shared" si="28"/>
        <v>13.666666666666666</v>
      </c>
      <c r="E213" s="11">
        <v>0.5</v>
      </c>
      <c r="F213" s="27">
        <v>0.5</v>
      </c>
      <c r="G213" s="109">
        <f t="shared" si="22"/>
        <v>9.9999999999999978E-2</v>
      </c>
      <c r="H213" s="109">
        <v>9.9999999999999978E-2</v>
      </c>
      <c r="I213" s="109">
        <v>0.5</v>
      </c>
      <c r="J213" s="113">
        <f t="shared" si="23"/>
        <v>9.9999999999999978E-2</v>
      </c>
      <c r="K213" s="12" t="s">
        <v>142</v>
      </c>
      <c r="L213" s="12"/>
      <c r="M213" s="129">
        <v>9.9999999999999978E-2</v>
      </c>
      <c r="N213" s="142">
        <f t="shared" si="24"/>
        <v>252.56000000000006</v>
      </c>
      <c r="O213" s="128">
        <f t="shared" si="25"/>
        <v>50.512</v>
      </c>
      <c r="P213" s="159">
        <f t="shared" si="26"/>
        <v>252.6</v>
      </c>
      <c r="Q213" s="160">
        <f t="shared" si="27"/>
        <v>50.5</v>
      </c>
    </row>
    <row r="214" spans="1:17" ht="46.5" thickTop="1" thickBot="1">
      <c r="A214" s="12" t="s">
        <v>184</v>
      </c>
      <c r="B214" s="166">
        <v>765.5</v>
      </c>
      <c r="C214" s="27" t="s">
        <v>74</v>
      </c>
      <c r="D214" s="10">
        <f t="shared" si="28"/>
        <v>25.516666666666666</v>
      </c>
      <c r="E214" s="11">
        <v>0.6</v>
      </c>
      <c r="F214" s="27">
        <v>0.6</v>
      </c>
      <c r="G214" s="109">
        <f t="shared" si="22"/>
        <v>0.19999999999999996</v>
      </c>
      <c r="H214" s="109">
        <v>0.19999999999999996</v>
      </c>
      <c r="I214" s="109">
        <v>0.6</v>
      </c>
      <c r="J214" s="113">
        <f t="shared" si="23"/>
        <v>0.19999999999999996</v>
      </c>
      <c r="K214" s="12" t="s">
        <v>142</v>
      </c>
      <c r="L214" s="12"/>
      <c r="M214" s="129">
        <v>0.19999999999999996</v>
      </c>
      <c r="N214" s="142">
        <f t="shared" si="24"/>
        <v>565.85760000000016</v>
      </c>
      <c r="O214" s="128">
        <f t="shared" si="25"/>
        <v>188.61920000000001</v>
      </c>
      <c r="P214" s="159">
        <f t="shared" si="26"/>
        <v>565.9</v>
      </c>
      <c r="Q214" s="160">
        <f t="shared" si="27"/>
        <v>188.6</v>
      </c>
    </row>
    <row r="215" spans="1:17" ht="46.5" thickTop="1" thickBot="1">
      <c r="A215" s="12" t="s">
        <v>184</v>
      </c>
      <c r="B215" s="166">
        <v>791.1</v>
      </c>
      <c r="C215" s="27" t="s">
        <v>74</v>
      </c>
      <c r="D215" s="10">
        <f t="shared" si="28"/>
        <v>26.37</v>
      </c>
      <c r="E215" s="11">
        <v>0.6</v>
      </c>
      <c r="F215" s="27">
        <v>0.6</v>
      </c>
      <c r="G215" s="109">
        <f t="shared" si="22"/>
        <v>0.19999999999999996</v>
      </c>
      <c r="H215" s="109">
        <v>0.19999999999999996</v>
      </c>
      <c r="I215" s="109">
        <v>0.6</v>
      </c>
      <c r="J215" s="113">
        <f t="shared" si="23"/>
        <v>0.19999999999999996</v>
      </c>
      <c r="K215" s="12" t="s">
        <v>142</v>
      </c>
      <c r="L215" s="12"/>
      <c r="M215" s="129">
        <v>0.19999999999999996</v>
      </c>
      <c r="N215" s="142">
        <f t="shared" si="24"/>
        <v>584.78111999999999</v>
      </c>
      <c r="O215" s="128">
        <f t="shared" si="25"/>
        <v>194.92703999999998</v>
      </c>
      <c r="P215" s="159">
        <f t="shared" si="26"/>
        <v>584.79999999999995</v>
      </c>
      <c r="Q215" s="160">
        <f t="shared" si="27"/>
        <v>194.9</v>
      </c>
    </row>
    <row r="216" spans="1:17" s="81" customFormat="1" ht="46.5" thickTop="1" thickBot="1">
      <c r="A216" s="12" t="s">
        <v>185</v>
      </c>
      <c r="B216" s="166">
        <v>686.3</v>
      </c>
      <c r="C216" s="27" t="s">
        <v>74</v>
      </c>
      <c r="D216" s="10">
        <f t="shared" ref="D216:D223" si="29">+B216/30</f>
        <v>22.876666666666665</v>
      </c>
      <c r="E216" s="11">
        <v>0.75</v>
      </c>
      <c r="F216" s="27">
        <v>0.75</v>
      </c>
      <c r="G216" s="109">
        <f t="shared" si="22"/>
        <v>0.35</v>
      </c>
      <c r="H216" s="109">
        <v>0.35</v>
      </c>
      <c r="I216" s="109">
        <v>0.75</v>
      </c>
      <c r="J216" s="113">
        <f t="shared" si="23"/>
        <v>0.35</v>
      </c>
      <c r="K216" s="12" t="s">
        <v>142</v>
      </c>
      <c r="L216" s="12"/>
      <c r="M216" s="129">
        <v>0.35</v>
      </c>
      <c r="N216" s="142">
        <f t="shared" si="24"/>
        <v>634.14120000000003</v>
      </c>
      <c r="O216" s="128">
        <f t="shared" si="25"/>
        <v>295.93255999999997</v>
      </c>
      <c r="P216" s="159">
        <f t="shared" si="26"/>
        <v>634.1</v>
      </c>
      <c r="Q216" s="160">
        <f t="shared" si="27"/>
        <v>295.89999999999998</v>
      </c>
    </row>
    <row r="217" spans="1:17" s="81" customFormat="1" ht="46.5" thickTop="1" thickBot="1">
      <c r="A217" s="12" t="s">
        <v>185</v>
      </c>
      <c r="B217" s="166">
        <v>778.4</v>
      </c>
      <c r="C217" s="27" t="s">
        <v>74</v>
      </c>
      <c r="D217" s="10">
        <f t="shared" si="29"/>
        <v>25.946666666666665</v>
      </c>
      <c r="E217" s="11">
        <v>0.75</v>
      </c>
      <c r="F217" s="27">
        <v>0.75</v>
      </c>
      <c r="G217" s="109">
        <f t="shared" si="22"/>
        <v>0.35</v>
      </c>
      <c r="H217" s="109">
        <v>0.35</v>
      </c>
      <c r="I217" s="109">
        <v>0.75</v>
      </c>
      <c r="J217" s="113">
        <f t="shared" si="23"/>
        <v>0.35</v>
      </c>
      <c r="K217" s="12" t="s">
        <v>142</v>
      </c>
      <c r="L217" s="12"/>
      <c r="M217" s="129">
        <v>0.35</v>
      </c>
      <c r="N217" s="142">
        <f t="shared" si="24"/>
        <v>719.24160000000006</v>
      </c>
      <c r="O217" s="128">
        <f t="shared" si="25"/>
        <v>335.64608000000004</v>
      </c>
      <c r="P217" s="159">
        <f t="shared" si="26"/>
        <v>719.2</v>
      </c>
      <c r="Q217" s="160">
        <f t="shared" si="27"/>
        <v>335.6</v>
      </c>
    </row>
    <row r="218" spans="1:17" s="81" customFormat="1" ht="46.5" thickTop="1" thickBot="1">
      <c r="A218" s="12" t="s">
        <v>185</v>
      </c>
      <c r="B218" s="166">
        <v>795.5</v>
      </c>
      <c r="C218" s="27" t="s">
        <v>74</v>
      </c>
      <c r="D218" s="10">
        <f t="shared" si="29"/>
        <v>26.516666666666666</v>
      </c>
      <c r="E218" s="11">
        <v>0.75</v>
      </c>
      <c r="F218" s="27">
        <v>0.75</v>
      </c>
      <c r="G218" s="109">
        <f t="shared" si="22"/>
        <v>0.35</v>
      </c>
      <c r="H218" s="109">
        <v>0.35</v>
      </c>
      <c r="I218" s="109">
        <v>0.75</v>
      </c>
      <c r="J218" s="113">
        <f t="shared" si="23"/>
        <v>0.35</v>
      </c>
      <c r="K218" s="12" t="s">
        <v>142</v>
      </c>
      <c r="L218" s="12"/>
      <c r="M218" s="129">
        <v>0.35</v>
      </c>
      <c r="N218" s="142">
        <f t="shared" si="24"/>
        <v>735.04200000000014</v>
      </c>
      <c r="O218" s="128">
        <f t="shared" si="25"/>
        <v>343.01959999999997</v>
      </c>
      <c r="P218" s="159">
        <f t="shared" si="26"/>
        <v>735</v>
      </c>
      <c r="Q218" s="160">
        <f t="shared" si="27"/>
        <v>343</v>
      </c>
    </row>
    <row r="219" spans="1:17" s="81" customFormat="1" ht="46.5" thickTop="1" thickBot="1">
      <c r="A219" s="12" t="s">
        <v>185</v>
      </c>
      <c r="B219" s="166">
        <v>844.7</v>
      </c>
      <c r="C219" s="27" t="s">
        <v>74</v>
      </c>
      <c r="D219" s="10">
        <f t="shared" si="29"/>
        <v>28.15666666666667</v>
      </c>
      <c r="E219" s="11">
        <v>0.75</v>
      </c>
      <c r="F219" s="27">
        <v>0.75</v>
      </c>
      <c r="G219" s="109">
        <f t="shared" si="22"/>
        <v>0.35</v>
      </c>
      <c r="H219" s="109">
        <v>0.35</v>
      </c>
      <c r="I219" s="109">
        <v>0.75</v>
      </c>
      <c r="J219" s="113">
        <f t="shared" si="23"/>
        <v>0.35</v>
      </c>
      <c r="K219" s="12" t="s">
        <v>142</v>
      </c>
      <c r="L219" s="12"/>
      <c r="M219" s="129">
        <v>0.35</v>
      </c>
      <c r="N219" s="142">
        <f t="shared" si="24"/>
        <v>780.50280000000021</v>
      </c>
      <c r="O219" s="128">
        <f t="shared" si="25"/>
        <v>364.23464000000007</v>
      </c>
      <c r="P219" s="159">
        <f t="shared" si="26"/>
        <v>780.5</v>
      </c>
      <c r="Q219" s="160">
        <f t="shared" si="27"/>
        <v>364.2</v>
      </c>
    </row>
    <row r="220" spans="1:17" s="81" customFormat="1" ht="46.5" thickTop="1" thickBot="1">
      <c r="A220" s="12" t="s">
        <v>186</v>
      </c>
      <c r="B220" s="167">
        <v>384.4</v>
      </c>
      <c r="C220" s="10" t="s">
        <v>74</v>
      </c>
      <c r="D220" s="10">
        <f t="shared" si="29"/>
        <v>12.813333333333333</v>
      </c>
      <c r="E220" s="11">
        <v>0.5</v>
      </c>
      <c r="F220" s="27">
        <v>0.5</v>
      </c>
      <c r="G220" s="109">
        <f t="shared" si="22"/>
        <v>9.9999999999999978E-2</v>
      </c>
      <c r="H220" s="109">
        <v>9.9999999999999978E-2</v>
      </c>
      <c r="I220" s="109">
        <v>0.5</v>
      </c>
      <c r="J220" s="113">
        <f t="shared" si="23"/>
        <v>9.9999999999999978E-2</v>
      </c>
      <c r="K220" s="12" t="s">
        <v>142</v>
      </c>
      <c r="L220" s="12"/>
      <c r="M220" s="129">
        <v>9.9999999999999978E-2</v>
      </c>
      <c r="N220" s="142">
        <f t="shared" si="24"/>
        <v>236.79040000000003</v>
      </c>
      <c r="O220" s="128">
        <f t="shared" si="25"/>
        <v>47.358079999999994</v>
      </c>
      <c r="P220" s="159">
        <f t="shared" si="26"/>
        <v>236.8</v>
      </c>
      <c r="Q220" s="160">
        <f t="shared" si="27"/>
        <v>47.4</v>
      </c>
    </row>
    <row r="221" spans="1:17" s="81" customFormat="1" ht="46.5" thickTop="1" thickBot="1">
      <c r="A221" s="12" t="s">
        <v>186</v>
      </c>
      <c r="B221" s="167">
        <v>410</v>
      </c>
      <c r="C221" s="10" t="s">
        <v>74</v>
      </c>
      <c r="D221" s="10">
        <f t="shared" si="29"/>
        <v>13.666666666666666</v>
      </c>
      <c r="E221" s="11">
        <v>0.5</v>
      </c>
      <c r="F221" s="27">
        <v>0.5</v>
      </c>
      <c r="G221" s="109">
        <f t="shared" si="22"/>
        <v>9.9999999999999978E-2</v>
      </c>
      <c r="H221" s="109">
        <v>9.9999999999999978E-2</v>
      </c>
      <c r="I221" s="109">
        <v>0.5</v>
      </c>
      <c r="J221" s="113">
        <f t="shared" si="23"/>
        <v>9.9999999999999978E-2</v>
      </c>
      <c r="K221" s="12" t="s">
        <v>142</v>
      </c>
      <c r="L221" s="12"/>
      <c r="M221" s="129">
        <v>9.9999999999999978E-2</v>
      </c>
      <c r="N221" s="142">
        <f t="shared" si="24"/>
        <v>252.56000000000006</v>
      </c>
      <c r="O221" s="128">
        <f t="shared" si="25"/>
        <v>50.512</v>
      </c>
      <c r="P221" s="159">
        <f t="shared" si="26"/>
        <v>252.6</v>
      </c>
      <c r="Q221" s="160">
        <f t="shared" si="27"/>
        <v>50.5</v>
      </c>
    </row>
    <row r="222" spans="1:17" s="81" customFormat="1" ht="46.5" thickTop="1" thickBot="1">
      <c r="A222" s="12" t="s">
        <v>186</v>
      </c>
      <c r="B222" s="167">
        <v>501.3</v>
      </c>
      <c r="C222" s="10" t="s">
        <v>74</v>
      </c>
      <c r="D222" s="10">
        <f t="shared" si="29"/>
        <v>16.71</v>
      </c>
      <c r="E222" s="11">
        <v>0.4</v>
      </c>
      <c r="F222" s="27">
        <v>0.4</v>
      </c>
      <c r="G222" s="109">
        <f t="shared" si="22"/>
        <v>0.1</v>
      </c>
      <c r="H222" s="109">
        <v>0.1</v>
      </c>
      <c r="I222" s="109">
        <v>0.4</v>
      </c>
      <c r="J222" s="113">
        <f t="shared" si="23"/>
        <v>0.1</v>
      </c>
      <c r="K222" s="12" t="s">
        <v>142</v>
      </c>
      <c r="L222" s="12"/>
      <c r="M222" s="129">
        <v>0.1</v>
      </c>
      <c r="N222" s="142">
        <f t="shared" si="24"/>
        <v>247.04064000000005</v>
      </c>
      <c r="O222" s="128">
        <f t="shared" si="25"/>
        <v>61.760160000000013</v>
      </c>
      <c r="P222" s="159">
        <f t="shared" si="26"/>
        <v>247</v>
      </c>
      <c r="Q222" s="160">
        <f t="shared" si="27"/>
        <v>61.8</v>
      </c>
    </row>
    <row r="223" spans="1:17" s="81" customFormat="1" ht="46.5" thickTop="1" thickBot="1">
      <c r="A223" s="12" t="s">
        <v>186</v>
      </c>
      <c r="B223" s="167">
        <v>555.5</v>
      </c>
      <c r="C223" s="10" t="s">
        <v>74</v>
      </c>
      <c r="D223" s="10">
        <f t="shared" si="29"/>
        <v>18.516666666666666</v>
      </c>
      <c r="E223" s="11">
        <v>0.4</v>
      </c>
      <c r="F223" s="27">
        <v>0.4</v>
      </c>
      <c r="G223" s="109">
        <f t="shared" si="22"/>
        <v>0.1</v>
      </c>
      <c r="H223" s="109">
        <v>0.1</v>
      </c>
      <c r="I223" s="109">
        <v>0.4</v>
      </c>
      <c r="J223" s="113">
        <f t="shared" si="23"/>
        <v>0.1</v>
      </c>
      <c r="K223" s="12" t="s">
        <v>142</v>
      </c>
      <c r="L223" s="12"/>
      <c r="M223" s="129">
        <v>0.1</v>
      </c>
      <c r="N223" s="142">
        <f t="shared" si="24"/>
        <v>273.75040000000007</v>
      </c>
      <c r="O223" s="128">
        <f t="shared" si="25"/>
        <v>68.437600000000018</v>
      </c>
      <c r="P223" s="159">
        <f t="shared" si="26"/>
        <v>273.8</v>
      </c>
      <c r="Q223" s="160">
        <f t="shared" si="27"/>
        <v>68.400000000000006</v>
      </c>
    </row>
    <row r="224" spans="1:17" s="81" customFormat="1" ht="46.5" thickTop="1" thickBot="1">
      <c r="A224" s="12" t="s">
        <v>721</v>
      </c>
      <c r="B224" s="167">
        <v>527.9</v>
      </c>
      <c r="C224" s="10" t="s">
        <v>74</v>
      </c>
      <c r="D224" s="10">
        <f>B224/30</f>
        <v>17.596666666666668</v>
      </c>
      <c r="E224" s="11">
        <v>0.7</v>
      </c>
      <c r="F224" s="27">
        <v>0.7</v>
      </c>
      <c r="G224" s="109">
        <f t="shared" si="22"/>
        <v>0.29999999999999993</v>
      </c>
      <c r="H224" s="109">
        <v>0.29999999999999993</v>
      </c>
      <c r="I224" s="109">
        <v>0.7</v>
      </c>
      <c r="J224" s="113">
        <f t="shared" si="23"/>
        <v>0.29999999999999993</v>
      </c>
      <c r="K224" s="12" t="s">
        <v>142</v>
      </c>
      <c r="L224" s="12"/>
      <c r="M224" s="129">
        <v>0.29999999999999993</v>
      </c>
      <c r="N224" s="142">
        <f t="shared" si="24"/>
        <v>455.26096000000007</v>
      </c>
      <c r="O224" s="128">
        <f t="shared" si="25"/>
        <v>195.11183999999997</v>
      </c>
      <c r="P224" s="159">
        <f t="shared" si="26"/>
        <v>455.3</v>
      </c>
      <c r="Q224" s="160">
        <f t="shared" si="27"/>
        <v>195.1</v>
      </c>
    </row>
    <row r="225" spans="1:17" s="81" customFormat="1" ht="46.5" thickTop="1" thickBot="1">
      <c r="A225" s="12" t="s">
        <v>721</v>
      </c>
      <c r="B225" s="167">
        <v>627.5</v>
      </c>
      <c r="C225" s="10" t="s">
        <v>74</v>
      </c>
      <c r="D225" s="10">
        <f t="shared" ref="D225:D227" si="30">B225/30</f>
        <v>20.916666666666668</v>
      </c>
      <c r="E225" s="11">
        <v>0.7</v>
      </c>
      <c r="F225" s="27">
        <v>0.7</v>
      </c>
      <c r="G225" s="109">
        <f t="shared" si="22"/>
        <v>0.29999999999999993</v>
      </c>
      <c r="H225" s="109">
        <v>0.29999999999999993</v>
      </c>
      <c r="I225" s="109">
        <v>0.7</v>
      </c>
      <c r="J225" s="113">
        <f t="shared" si="23"/>
        <v>0.29999999999999993</v>
      </c>
      <c r="K225" s="12" t="s">
        <v>142</v>
      </c>
      <c r="L225" s="12"/>
      <c r="M225" s="129">
        <v>0.29999999999999993</v>
      </c>
      <c r="N225" s="142">
        <f t="shared" si="24"/>
        <v>541.15600000000006</v>
      </c>
      <c r="O225" s="128">
        <f t="shared" si="25"/>
        <v>231.92399999999998</v>
      </c>
      <c r="P225" s="159">
        <f t="shared" si="26"/>
        <v>541.20000000000005</v>
      </c>
      <c r="Q225" s="160">
        <f t="shared" si="27"/>
        <v>231.9</v>
      </c>
    </row>
    <row r="226" spans="1:17" s="81" customFormat="1" ht="46.5" thickTop="1" thickBot="1">
      <c r="A226" s="12" t="s">
        <v>721</v>
      </c>
      <c r="B226" s="167">
        <v>611.9</v>
      </c>
      <c r="C226" s="10" t="s">
        <v>74</v>
      </c>
      <c r="D226" s="10">
        <f t="shared" si="30"/>
        <v>20.396666666666665</v>
      </c>
      <c r="E226" s="11">
        <v>0.7</v>
      </c>
      <c r="F226" s="27">
        <v>0.7</v>
      </c>
      <c r="G226" s="109">
        <f t="shared" si="22"/>
        <v>0.29999999999999993</v>
      </c>
      <c r="H226" s="109">
        <v>0.29999999999999993</v>
      </c>
      <c r="I226" s="109">
        <v>0.7</v>
      </c>
      <c r="J226" s="113">
        <f t="shared" si="23"/>
        <v>0.29999999999999993</v>
      </c>
      <c r="K226" s="12" t="s">
        <v>142</v>
      </c>
      <c r="L226" s="12"/>
      <c r="M226" s="129">
        <v>0.29999999999999993</v>
      </c>
      <c r="N226" s="142">
        <f t="shared" si="24"/>
        <v>527.70256000000006</v>
      </c>
      <c r="O226" s="128">
        <f t="shared" si="25"/>
        <v>226.15823999999998</v>
      </c>
      <c r="P226" s="159">
        <f t="shared" si="26"/>
        <v>527.70000000000005</v>
      </c>
      <c r="Q226" s="160">
        <f t="shared" si="27"/>
        <v>226.2</v>
      </c>
    </row>
    <row r="227" spans="1:17" s="81" customFormat="1" ht="46.5" thickTop="1" thickBot="1">
      <c r="A227" s="12" t="s">
        <v>721</v>
      </c>
      <c r="B227" s="167">
        <v>649.79999999999995</v>
      </c>
      <c r="C227" s="10" t="s">
        <v>74</v>
      </c>
      <c r="D227" s="10">
        <f t="shared" si="30"/>
        <v>21.66</v>
      </c>
      <c r="E227" s="11">
        <v>0.7</v>
      </c>
      <c r="F227" s="27">
        <v>0.7</v>
      </c>
      <c r="G227" s="109">
        <f t="shared" si="22"/>
        <v>0.29999999999999993</v>
      </c>
      <c r="H227" s="109">
        <v>0.29999999999999993</v>
      </c>
      <c r="I227" s="109">
        <v>0.7</v>
      </c>
      <c r="J227" s="113">
        <f t="shared" si="23"/>
        <v>0.29999999999999993</v>
      </c>
      <c r="K227" s="12" t="s">
        <v>142</v>
      </c>
      <c r="L227" s="12"/>
      <c r="M227" s="129">
        <v>0.29999999999999993</v>
      </c>
      <c r="N227" s="142">
        <f t="shared" si="24"/>
        <v>560.38751999999999</v>
      </c>
      <c r="O227" s="128">
        <f t="shared" si="25"/>
        <v>240.16607999999997</v>
      </c>
      <c r="P227" s="159">
        <f t="shared" si="26"/>
        <v>560.4</v>
      </c>
      <c r="Q227" s="160">
        <f t="shared" si="27"/>
        <v>240.2</v>
      </c>
    </row>
    <row r="228" spans="1:17" ht="46.5" thickTop="1" thickBot="1">
      <c r="A228" s="12" t="s">
        <v>187</v>
      </c>
      <c r="B228" s="166">
        <v>172.8</v>
      </c>
      <c r="C228" s="9" t="s">
        <v>112</v>
      </c>
      <c r="D228" s="10">
        <f>B228/30/50*50</f>
        <v>5.7600000000000007</v>
      </c>
      <c r="E228" s="1">
        <v>0.35</v>
      </c>
      <c r="F228" s="95">
        <v>0.35</v>
      </c>
      <c r="G228" s="109">
        <f t="shared" si="22"/>
        <v>0.1</v>
      </c>
      <c r="H228" s="109">
        <v>0.1</v>
      </c>
      <c r="I228" s="109">
        <v>0.35</v>
      </c>
      <c r="J228" s="113">
        <f t="shared" si="23"/>
        <v>0.1</v>
      </c>
      <c r="K228" s="12" t="s">
        <v>188</v>
      </c>
      <c r="L228" s="12"/>
      <c r="M228" s="129">
        <v>0.1</v>
      </c>
      <c r="N228" s="142">
        <f t="shared" si="24"/>
        <v>74.51136000000001</v>
      </c>
      <c r="O228" s="128">
        <f t="shared" si="25"/>
        <v>21.288960000000007</v>
      </c>
      <c r="P228" s="159">
        <f t="shared" si="26"/>
        <v>74.5</v>
      </c>
      <c r="Q228" s="160">
        <f t="shared" si="27"/>
        <v>21.3</v>
      </c>
    </row>
    <row r="229" spans="1:17" ht="46.5" thickTop="1" thickBot="1">
      <c r="A229" s="12" t="s">
        <v>187</v>
      </c>
      <c r="B229" s="166">
        <v>372.9</v>
      </c>
      <c r="C229" s="9" t="s">
        <v>112</v>
      </c>
      <c r="D229" s="10">
        <f>B229/30/100*50</f>
        <v>6.2149999999999999</v>
      </c>
      <c r="E229" s="1">
        <v>0.35</v>
      </c>
      <c r="F229" s="95">
        <v>0.35</v>
      </c>
      <c r="G229" s="109">
        <f t="shared" si="22"/>
        <v>0.1</v>
      </c>
      <c r="H229" s="109">
        <v>0.1</v>
      </c>
      <c r="I229" s="109">
        <v>0.35</v>
      </c>
      <c r="J229" s="113">
        <f t="shared" si="23"/>
        <v>0.1</v>
      </c>
      <c r="K229" s="12" t="s">
        <v>188</v>
      </c>
      <c r="L229" s="12"/>
      <c r="M229" s="129">
        <v>0.1</v>
      </c>
      <c r="N229" s="142">
        <f t="shared" si="24"/>
        <v>160.79447999999999</v>
      </c>
      <c r="O229" s="128">
        <f t="shared" si="25"/>
        <v>45.941280000000006</v>
      </c>
      <c r="P229" s="159">
        <f t="shared" si="26"/>
        <v>160.80000000000001</v>
      </c>
      <c r="Q229" s="160">
        <f t="shared" si="27"/>
        <v>45.9</v>
      </c>
    </row>
    <row r="230" spans="1:17" ht="46.5" thickTop="1" thickBot="1">
      <c r="A230" s="12" t="s">
        <v>189</v>
      </c>
      <c r="B230" s="166">
        <v>172.8</v>
      </c>
      <c r="C230" s="10" t="s">
        <v>112</v>
      </c>
      <c r="D230" s="10">
        <f>B230/30/50*50</f>
        <v>5.7600000000000007</v>
      </c>
      <c r="E230" s="1">
        <v>0.35</v>
      </c>
      <c r="F230" s="95">
        <v>0.35</v>
      </c>
      <c r="G230" s="109">
        <f t="shared" si="22"/>
        <v>0.1</v>
      </c>
      <c r="H230" s="109">
        <v>0.1</v>
      </c>
      <c r="I230" s="109">
        <v>0.35</v>
      </c>
      <c r="J230" s="113">
        <f t="shared" si="23"/>
        <v>0.1</v>
      </c>
      <c r="K230" s="12" t="s">
        <v>188</v>
      </c>
      <c r="L230" s="12"/>
      <c r="M230" s="129">
        <v>0.1</v>
      </c>
      <c r="N230" s="142">
        <f t="shared" si="24"/>
        <v>74.51136000000001</v>
      </c>
      <c r="O230" s="128">
        <f t="shared" si="25"/>
        <v>21.288960000000007</v>
      </c>
      <c r="P230" s="159">
        <f t="shared" si="26"/>
        <v>74.5</v>
      </c>
      <c r="Q230" s="160">
        <f t="shared" si="27"/>
        <v>21.3</v>
      </c>
    </row>
    <row r="231" spans="1:17" ht="46.5" thickTop="1" thickBot="1">
      <c r="A231" s="12" t="s">
        <v>190</v>
      </c>
      <c r="B231" s="166">
        <v>172.8</v>
      </c>
      <c r="C231" s="10" t="s">
        <v>112</v>
      </c>
      <c r="D231" s="10">
        <f>B231/30/50*50</f>
        <v>5.7600000000000007</v>
      </c>
      <c r="E231" s="1">
        <v>0.35</v>
      </c>
      <c r="F231" s="95">
        <v>0.35</v>
      </c>
      <c r="G231" s="109">
        <f t="shared" si="22"/>
        <v>0.1</v>
      </c>
      <c r="H231" s="109">
        <v>0.1</v>
      </c>
      <c r="I231" s="109">
        <v>0.35</v>
      </c>
      <c r="J231" s="113">
        <f t="shared" si="23"/>
        <v>0.1</v>
      </c>
      <c r="K231" s="12" t="s">
        <v>188</v>
      </c>
      <c r="L231" s="12"/>
      <c r="M231" s="129">
        <v>0.1</v>
      </c>
      <c r="N231" s="142">
        <f t="shared" si="24"/>
        <v>74.51136000000001</v>
      </c>
      <c r="O231" s="128">
        <f t="shared" si="25"/>
        <v>21.288960000000007</v>
      </c>
      <c r="P231" s="159">
        <f t="shared" si="26"/>
        <v>74.5</v>
      </c>
      <c r="Q231" s="160">
        <f t="shared" si="27"/>
        <v>21.3</v>
      </c>
    </row>
    <row r="232" spans="1:17" ht="46.5" thickTop="1" thickBot="1">
      <c r="A232" s="12" t="s">
        <v>190</v>
      </c>
      <c r="B232" s="166">
        <v>372.9</v>
      </c>
      <c r="C232" s="10" t="s">
        <v>112</v>
      </c>
      <c r="D232" s="10">
        <f>B232/30/100*50</f>
        <v>6.2149999999999999</v>
      </c>
      <c r="E232" s="1">
        <v>0.35</v>
      </c>
      <c r="F232" s="95">
        <v>0.35</v>
      </c>
      <c r="G232" s="109">
        <f t="shared" si="22"/>
        <v>0.1</v>
      </c>
      <c r="H232" s="109">
        <v>0.1</v>
      </c>
      <c r="I232" s="109">
        <v>0.35</v>
      </c>
      <c r="J232" s="113">
        <f t="shared" si="23"/>
        <v>0.1</v>
      </c>
      <c r="K232" s="12" t="s">
        <v>188</v>
      </c>
      <c r="L232" s="12"/>
      <c r="M232" s="129">
        <v>0.1</v>
      </c>
      <c r="N232" s="142">
        <f t="shared" si="24"/>
        <v>160.79447999999999</v>
      </c>
      <c r="O232" s="128">
        <f t="shared" si="25"/>
        <v>45.941280000000006</v>
      </c>
      <c r="P232" s="159">
        <f t="shared" si="26"/>
        <v>160.80000000000001</v>
      </c>
      <c r="Q232" s="160">
        <f t="shared" si="27"/>
        <v>45.9</v>
      </c>
    </row>
    <row r="233" spans="1:17" ht="46.5" thickTop="1" thickBot="1">
      <c r="A233" s="12" t="s">
        <v>191</v>
      </c>
      <c r="B233" s="166">
        <v>161.30000000000001</v>
      </c>
      <c r="C233" s="10" t="s">
        <v>112</v>
      </c>
      <c r="D233" s="10">
        <f>B233/28/50*50</f>
        <v>5.7607142857142861</v>
      </c>
      <c r="E233" s="1">
        <v>0.35</v>
      </c>
      <c r="F233" s="95">
        <v>0.35</v>
      </c>
      <c r="G233" s="109">
        <f t="shared" si="22"/>
        <v>0.1</v>
      </c>
      <c r="H233" s="109">
        <v>0.1</v>
      </c>
      <c r="I233" s="109">
        <v>0.35</v>
      </c>
      <c r="J233" s="113">
        <f t="shared" si="23"/>
        <v>0.1</v>
      </c>
      <c r="K233" s="12" t="s">
        <v>188</v>
      </c>
      <c r="L233" s="12"/>
      <c r="M233" s="129">
        <v>0.1</v>
      </c>
      <c r="N233" s="142">
        <f t="shared" si="24"/>
        <v>69.552560000000014</v>
      </c>
      <c r="O233" s="128">
        <f t="shared" si="25"/>
        <v>19.872160000000004</v>
      </c>
      <c r="P233" s="159">
        <f t="shared" si="26"/>
        <v>69.599999999999994</v>
      </c>
      <c r="Q233" s="160">
        <f t="shared" si="27"/>
        <v>19.899999999999999</v>
      </c>
    </row>
    <row r="234" spans="1:17" ht="46.5" thickTop="1" thickBot="1">
      <c r="A234" s="12" t="s">
        <v>192</v>
      </c>
      <c r="B234" s="166">
        <v>172.8</v>
      </c>
      <c r="C234" s="10" t="s">
        <v>112</v>
      </c>
      <c r="D234" s="10">
        <f>B234/30/50*50</f>
        <v>5.7600000000000007</v>
      </c>
      <c r="E234" s="1">
        <v>0.35</v>
      </c>
      <c r="F234" s="95">
        <v>0.35</v>
      </c>
      <c r="G234" s="109">
        <f t="shared" si="22"/>
        <v>0.1</v>
      </c>
      <c r="H234" s="109">
        <v>0.1</v>
      </c>
      <c r="I234" s="109">
        <v>0.35</v>
      </c>
      <c r="J234" s="113">
        <f t="shared" si="23"/>
        <v>0.1</v>
      </c>
      <c r="K234" s="12" t="s">
        <v>188</v>
      </c>
      <c r="L234" s="12"/>
      <c r="M234" s="129">
        <v>0.1</v>
      </c>
      <c r="N234" s="142">
        <f t="shared" si="24"/>
        <v>74.51136000000001</v>
      </c>
      <c r="O234" s="128">
        <f t="shared" si="25"/>
        <v>21.288960000000007</v>
      </c>
      <c r="P234" s="159">
        <f t="shared" si="26"/>
        <v>74.5</v>
      </c>
      <c r="Q234" s="160">
        <f t="shared" si="27"/>
        <v>21.3</v>
      </c>
    </row>
    <row r="235" spans="1:17" ht="46.5" thickTop="1" thickBot="1">
      <c r="A235" s="58" t="s">
        <v>193</v>
      </c>
      <c r="B235" s="166">
        <v>165.1</v>
      </c>
      <c r="C235" s="28" t="s">
        <v>194</v>
      </c>
      <c r="D235" s="28">
        <f>B235/28/80*80</f>
        <v>5.8964285714285714</v>
      </c>
      <c r="E235" s="1">
        <v>0.5</v>
      </c>
      <c r="F235" s="95">
        <v>0.5</v>
      </c>
      <c r="G235" s="109">
        <f t="shared" si="22"/>
        <v>9.9999999999999978E-2</v>
      </c>
      <c r="H235" s="109">
        <v>9.9999999999999978E-2</v>
      </c>
      <c r="I235" s="109">
        <v>0.5</v>
      </c>
      <c r="J235" s="113">
        <f t="shared" si="23"/>
        <v>9.9999999999999978E-2</v>
      </c>
      <c r="K235" s="12" t="s">
        <v>195</v>
      </c>
      <c r="L235" s="12"/>
      <c r="M235" s="129">
        <v>9.9999999999999978E-2</v>
      </c>
      <c r="N235" s="142">
        <f t="shared" si="24"/>
        <v>101.70160000000001</v>
      </c>
      <c r="O235" s="128">
        <f t="shared" si="25"/>
        <v>20.340319999999998</v>
      </c>
      <c r="P235" s="159">
        <f t="shared" si="26"/>
        <v>101.7</v>
      </c>
      <c r="Q235" s="160">
        <f t="shared" si="27"/>
        <v>20.3</v>
      </c>
    </row>
    <row r="236" spans="1:17" ht="46.5" thickTop="1" thickBot="1">
      <c r="A236" s="58" t="s">
        <v>193</v>
      </c>
      <c r="B236" s="166">
        <v>255.3</v>
      </c>
      <c r="C236" s="28" t="s">
        <v>194</v>
      </c>
      <c r="D236" s="28">
        <f>B236/28/160*80</f>
        <v>4.5589285714285719</v>
      </c>
      <c r="E236" s="1">
        <v>0.5</v>
      </c>
      <c r="F236" s="95">
        <v>0.5</v>
      </c>
      <c r="G236" s="109">
        <f t="shared" si="22"/>
        <v>9.9999999999999978E-2</v>
      </c>
      <c r="H236" s="109">
        <v>9.9999999999999978E-2</v>
      </c>
      <c r="I236" s="109">
        <v>0.5</v>
      </c>
      <c r="J236" s="113">
        <f t="shared" si="23"/>
        <v>9.9999999999999978E-2</v>
      </c>
      <c r="K236" s="12" t="s">
        <v>195</v>
      </c>
      <c r="L236" s="12"/>
      <c r="M236" s="129">
        <v>9.9999999999999978E-2</v>
      </c>
      <c r="N236" s="142">
        <f t="shared" si="24"/>
        <v>157.26480000000004</v>
      </c>
      <c r="O236" s="128">
        <f t="shared" si="25"/>
        <v>31.452959999999997</v>
      </c>
      <c r="P236" s="159">
        <f t="shared" si="26"/>
        <v>157.30000000000001</v>
      </c>
      <c r="Q236" s="160">
        <f t="shared" si="27"/>
        <v>31.5</v>
      </c>
    </row>
    <row r="237" spans="1:17" ht="46.5" thickTop="1" thickBot="1">
      <c r="A237" s="53" t="s">
        <v>193</v>
      </c>
      <c r="B237" s="166">
        <v>539.9</v>
      </c>
      <c r="C237" s="28" t="s">
        <v>194</v>
      </c>
      <c r="D237" s="29">
        <f>B237/28/320*80</f>
        <v>4.8205357142857137</v>
      </c>
      <c r="E237" s="1">
        <v>0.5</v>
      </c>
      <c r="F237" s="95">
        <v>0.5</v>
      </c>
      <c r="G237" s="109">
        <f t="shared" si="22"/>
        <v>9.9999999999999978E-2</v>
      </c>
      <c r="H237" s="109">
        <v>9.9999999999999978E-2</v>
      </c>
      <c r="I237" s="109">
        <v>0.5</v>
      </c>
      <c r="J237" s="113">
        <f t="shared" si="23"/>
        <v>9.9999999999999978E-2</v>
      </c>
      <c r="K237" s="12" t="s">
        <v>195</v>
      </c>
      <c r="L237" s="12"/>
      <c r="M237" s="129">
        <v>9.9999999999999978E-2</v>
      </c>
      <c r="N237" s="142">
        <f t="shared" si="24"/>
        <v>332.57840000000004</v>
      </c>
      <c r="O237" s="128">
        <f t="shared" si="25"/>
        <v>66.515680000000003</v>
      </c>
      <c r="P237" s="159">
        <f t="shared" si="26"/>
        <v>332.6</v>
      </c>
      <c r="Q237" s="160">
        <f t="shared" si="27"/>
        <v>66.5</v>
      </c>
    </row>
    <row r="238" spans="1:17" ht="46.5" thickTop="1" thickBot="1">
      <c r="A238" s="53" t="s">
        <v>196</v>
      </c>
      <c r="B238" s="166">
        <v>255.3</v>
      </c>
      <c r="C238" s="9" t="s">
        <v>194</v>
      </c>
      <c r="D238" s="10">
        <f>B238/28/160*80</f>
        <v>4.5589285714285719</v>
      </c>
      <c r="E238" s="1">
        <v>0.5</v>
      </c>
      <c r="F238" s="95">
        <v>0.5</v>
      </c>
      <c r="G238" s="109">
        <f t="shared" si="22"/>
        <v>9.9999999999999978E-2</v>
      </c>
      <c r="H238" s="109">
        <v>9.9999999999999978E-2</v>
      </c>
      <c r="I238" s="109">
        <v>0.5</v>
      </c>
      <c r="J238" s="113">
        <f t="shared" si="23"/>
        <v>9.9999999999999978E-2</v>
      </c>
      <c r="K238" s="12" t="s">
        <v>195</v>
      </c>
      <c r="L238" s="12"/>
      <c r="M238" s="129">
        <v>9.9999999999999978E-2</v>
      </c>
      <c r="N238" s="142">
        <f t="shared" si="24"/>
        <v>157.26480000000004</v>
      </c>
      <c r="O238" s="128">
        <f t="shared" si="25"/>
        <v>31.452959999999997</v>
      </c>
      <c r="P238" s="159">
        <f t="shared" si="26"/>
        <v>157.30000000000001</v>
      </c>
      <c r="Q238" s="160">
        <f t="shared" si="27"/>
        <v>31.5</v>
      </c>
    </row>
    <row r="239" spans="1:17" ht="46.5" thickTop="1" thickBot="1">
      <c r="A239" s="53" t="s">
        <v>196</v>
      </c>
      <c r="B239" s="166">
        <v>165.1</v>
      </c>
      <c r="C239" s="9" t="s">
        <v>194</v>
      </c>
      <c r="D239" s="10">
        <f>B239/28/80*80</f>
        <v>5.8964285714285714</v>
      </c>
      <c r="E239" s="1">
        <v>0.5</v>
      </c>
      <c r="F239" s="95">
        <v>0.5</v>
      </c>
      <c r="G239" s="109">
        <f t="shared" si="22"/>
        <v>9.9999999999999978E-2</v>
      </c>
      <c r="H239" s="109">
        <v>9.9999999999999978E-2</v>
      </c>
      <c r="I239" s="109">
        <v>0.5</v>
      </c>
      <c r="J239" s="113">
        <f t="shared" si="23"/>
        <v>9.9999999999999978E-2</v>
      </c>
      <c r="K239" s="12" t="s">
        <v>195</v>
      </c>
      <c r="L239" s="12"/>
      <c r="M239" s="129">
        <v>9.9999999999999978E-2</v>
      </c>
      <c r="N239" s="142">
        <f t="shared" si="24"/>
        <v>101.70160000000001</v>
      </c>
      <c r="O239" s="128">
        <f t="shared" si="25"/>
        <v>20.340319999999998</v>
      </c>
      <c r="P239" s="159">
        <f t="shared" si="26"/>
        <v>101.7</v>
      </c>
      <c r="Q239" s="160">
        <f t="shared" si="27"/>
        <v>20.3</v>
      </c>
    </row>
    <row r="240" spans="1:17" ht="46.5" thickTop="1" thickBot="1">
      <c r="A240" s="41" t="s">
        <v>197</v>
      </c>
      <c r="B240" s="167">
        <v>176.9</v>
      </c>
      <c r="C240" s="28" t="s">
        <v>194</v>
      </c>
      <c r="D240" s="10">
        <f>B240/30/80*80</f>
        <v>5.8966666666666665</v>
      </c>
      <c r="E240" s="4">
        <v>0.5</v>
      </c>
      <c r="F240" s="99">
        <v>0.5</v>
      </c>
      <c r="G240" s="109">
        <f t="shared" si="22"/>
        <v>9.9999999999999978E-2</v>
      </c>
      <c r="H240" s="109">
        <v>9.9999999999999978E-2</v>
      </c>
      <c r="I240" s="109">
        <v>0.5</v>
      </c>
      <c r="J240" s="113">
        <f t="shared" si="23"/>
        <v>9.9999999999999978E-2</v>
      </c>
      <c r="K240" s="41" t="s">
        <v>195</v>
      </c>
      <c r="L240" s="41"/>
      <c r="M240" s="130">
        <v>9.9999999999999978E-2</v>
      </c>
      <c r="N240" s="142">
        <f t="shared" si="24"/>
        <v>108.97040000000001</v>
      </c>
      <c r="O240" s="128">
        <f t="shared" si="25"/>
        <v>21.794080000000001</v>
      </c>
      <c r="P240" s="159">
        <f t="shared" si="26"/>
        <v>109</v>
      </c>
      <c r="Q240" s="160">
        <f t="shared" si="27"/>
        <v>21.8</v>
      </c>
    </row>
    <row r="241" spans="1:17" ht="46.5" thickTop="1" thickBot="1">
      <c r="A241" s="41" t="s">
        <v>197</v>
      </c>
      <c r="B241" s="167">
        <v>273.5</v>
      </c>
      <c r="C241" s="28" t="s">
        <v>194</v>
      </c>
      <c r="D241" s="10">
        <f>B241/30/160*80</f>
        <v>4.5583333333333336</v>
      </c>
      <c r="E241" s="4">
        <v>0.5</v>
      </c>
      <c r="F241" s="99">
        <v>0.5</v>
      </c>
      <c r="G241" s="109">
        <f t="shared" si="22"/>
        <v>9.9999999999999978E-2</v>
      </c>
      <c r="H241" s="109">
        <v>9.9999999999999978E-2</v>
      </c>
      <c r="I241" s="109">
        <v>0.5</v>
      </c>
      <c r="J241" s="113">
        <f t="shared" si="23"/>
        <v>9.9999999999999978E-2</v>
      </c>
      <c r="K241" s="41" t="s">
        <v>195</v>
      </c>
      <c r="L241" s="41"/>
      <c r="M241" s="130">
        <v>9.9999999999999978E-2</v>
      </c>
      <c r="N241" s="142">
        <f t="shared" si="24"/>
        <v>168.47600000000003</v>
      </c>
      <c r="O241" s="128">
        <f t="shared" si="25"/>
        <v>33.6952</v>
      </c>
      <c r="P241" s="159">
        <f t="shared" si="26"/>
        <v>168.5</v>
      </c>
      <c r="Q241" s="160">
        <f t="shared" si="27"/>
        <v>33.700000000000003</v>
      </c>
    </row>
    <row r="242" spans="1:17" ht="46.5" thickTop="1" thickBot="1">
      <c r="A242" s="41" t="s">
        <v>197</v>
      </c>
      <c r="B242" s="167">
        <v>578.5</v>
      </c>
      <c r="C242" s="28" t="s">
        <v>194</v>
      </c>
      <c r="D242" s="10">
        <f>B242/30/320*80</f>
        <v>4.8208333333333337</v>
      </c>
      <c r="E242" s="4">
        <v>0.5</v>
      </c>
      <c r="F242" s="99">
        <v>0.5</v>
      </c>
      <c r="G242" s="109">
        <f t="shared" si="22"/>
        <v>9.9999999999999978E-2</v>
      </c>
      <c r="H242" s="109">
        <v>9.9999999999999978E-2</v>
      </c>
      <c r="I242" s="109">
        <v>0.5</v>
      </c>
      <c r="J242" s="113">
        <f t="shared" si="23"/>
        <v>9.9999999999999978E-2</v>
      </c>
      <c r="K242" s="41" t="s">
        <v>195</v>
      </c>
      <c r="L242" s="41"/>
      <c r="M242" s="130">
        <v>9.9999999999999978E-2</v>
      </c>
      <c r="N242" s="142">
        <f t="shared" si="24"/>
        <v>356.35600000000005</v>
      </c>
      <c r="O242" s="128">
        <f t="shared" si="25"/>
        <v>71.271199999999993</v>
      </c>
      <c r="P242" s="159">
        <f t="shared" si="26"/>
        <v>356.4</v>
      </c>
      <c r="Q242" s="160">
        <f t="shared" si="27"/>
        <v>71.3</v>
      </c>
    </row>
    <row r="243" spans="1:17" ht="46.5" thickTop="1" thickBot="1">
      <c r="A243" s="53" t="s">
        <v>196</v>
      </c>
      <c r="B243" s="166">
        <v>176.9</v>
      </c>
      <c r="C243" s="28" t="s">
        <v>194</v>
      </c>
      <c r="D243" s="31">
        <f>B243/30/80*80</f>
        <v>5.8966666666666665</v>
      </c>
      <c r="E243" s="2">
        <v>0.5</v>
      </c>
      <c r="F243" s="96">
        <v>0.5</v>
      </c>
      <c r="G243" s="109">
        <f t="shared" si="22"/>
        <v>9.9999999999999978E-2</v>
      </c>
      <c r="H243" s="109">
        <v>9.9999999999999978E-2</v>
      </c>
      <c r="I243" s="109">
        <v>0.5</v>
      </c>
      <c r="J243" s="113">
        <f t="shared" si="23"/>
        <v>9.9999999999999978E-2</v>
      </c>
      <c r="K243" s="12" t="s">
        <v>195</v>
      </c>
      <c r="L243" s="12"/>
      <c r="M243" s="129">
        <v>9.9999999999999978E-2</v>
      </c>
      <c r="N243" s="142">
        <f t="shared" si="24"/>
        <v>108.97040000000001</v>
      </c>
      <c r="O243" s="128">
        <f t="shared" si="25"/>
        <v>21.794080000000001</v>
      </c>
      <c r="P243" s="159">
        <f t="shared" si="26"/>
        <v>109</v>
      </c>
      <c r="Q243" s="160">
        <f t="shared" si="27"/>
        <v>21.8</v>
      </c>
    </row>
    <row r="244" spans="1:17" ht="46.5" thickTop="1" thickBot="1">
      <c r="A244" s="53" t="s">
        <v>196</v>
      </c>
      <c r="B244" s="166">
        <v>273.5</v>
      </c>
      <c r="C244" s="28" t="s">
        <v>194</v>
      </c>
      <c r="D244" s="31">
        <f>B244/30/160*80</f>
        <v>4.5583333333333336</v>
      </c>
      <c r="E244" s="2">
        <v>0.5</v>
      </c>
      <c r="F244" s="96">
        <v>0.5</v>
      </c>
      <c r="G244" s="109">
        <f t="shared" si="22"/>
        <v>9.9999999999999978E-2</v>
      </c>
      <c r="H244" s="109">
        <v>9.9999999999999978E-2</v>
      </c>
      <c r="I244" s="109">
        <v>0.5</v>
      </c>
      <c r="J244" s="113">
        <f t="shared" si="23"/>
        <v>9.9999999999999978E-2</v>
      </c>
      <c r="K244" s="12" t="s">
        <v>195</v>
      </c>
      <c r="L244" s="12"/>
      <c r="M244" s="129">
        <v>9.9999999999999978E-2</v>
      </c>
      <c r="N244" s="142">
        <f t="shared" si="24"/>
        <v>168.47600000000003</v>
      </c>
      <c r="O244" s="128">
        <f t="shared" si="25"/>
        <v>33.6952</v>
      </c>
      <c r="P244" s="159">
        <f t="shared" si="26"/>
        <v>168.5</v>
      </c>
      <c r="Q244" s="160">
        <f t="shared" si="27"/>
        <v>33.700000000000003</v>
      </c>
    </row>
    <row r="245" spans="1:17" ht="24" thickTop="1" thickBot="1">
      <c r="A245" s="12" t="s">
        <v>198</v>
      </c>
      <c r="B245" s="166">
        <v>397.3</v>
      </c>
      <c r="C245" s="9" t="s">
        <v>120</v>
      </c>
      <c r="D245" s="10">
        <f>B245/30/150*150</f>
        <v>13.243333333333334</v>
      </c>
      <c r="E245" s="11">
        <v>0.8</v>
      </c>
      <c r="F245" s="27">
        <v>0.8</v>
      </c>
      <c r="G245" s="109">
        <f t="shared" si="22"/>
        <v>0.4</v>
      </c>
      <c r="H245" s="109">
        <v>0.4</v>
      </c>
      <c r="I245" s="109">
        <v>0.8</v>
      </c>
      <c r="J245" s="113">
        <f t="shared" si="23"/>
        <v>0.4</v>
      </c>
      <c r="K245" s="12" t="s">
        <v>199</v>
      </c>
      <c r="L245" s="12"/>
      <c r="M245" s="129">
        <v>0.4</v>
      </c>
      <c r="N245" s="142">
        <f t="shared" si="24"/>
        <v>391.57888000000008</v>
      </c>
      <c r="O245" s="128">
        <f t="shared" si="25"/>
        <v>195.78944000000004</v>
      </c>
      <c r="P245" s="159">
        <f t="shared" si="26"/>
        <v>391.6</v>
      </c>
      <c r="Q245" s="160">
        <f t="shared" si="27"/>
        <v>195.8</v>
      </c>
    </row>
    <row r="246" spans="1:17" ht="24" thickTop="1" thickBot="1">
      <c r="A246" s="12" t="s">
        <v>198</v>
      </c>
      <c r="B246" s="166">
        <v>501.2</v>
      </c>
      <c r="C246" s="9" t="s">
        <v>120</v>
      </c>
      <c r="D246" s="10">
        <f>B246/30/300*150</f>
        <v>8.3533333333333335</v>
      </c>
      <c r="E246" s="11">
        <v>0.8</v>
      </c>
      <c r="F246" s="27">
        <v>0.8</v>
      </c>
      <c r="G246" s="109">
        <f t="shared" si="22"/>
        <v>0.4</v>
      </c>
      <c r="H246" s="109">
        <v>0.4</v>
      </c>
      <c r="I246" s="109">
        <v>0.8</v>
      </c>
      <c r="J246" s="113">
        <f t="shared" si="23"/>
        <v>0.4</v>
      </c>
      <c r="K246" s="12" t="s">
        <v>199</v>
      </c>
      <c r="L246" s="12"/>
      <c r="M246" s="129">
        <v>0.4</v>
      </c>
      <c r="N246" s="142">
        <f t="shared" si="24"/>
        <v>493.98272000000014</v>
      </c>
      <c r="O246" s="128">
        <f t="shared" si="25"/>
        <v>246.99136000000007</v>
      </c>
      <c r="P246" s="159">
        <f t="shared" si="26"/>
        <v>494</v>
      </c>
      <c r="Q246" s="160">
        <f t="shared" si="27"/>
        <v>247</v>
      </c>
    </row>
    <row r="247" spans="1:17" ht="46.5" thickTop="1" thickBot="1">
      <c r="A247" s="12" t="s">
        <v>200</v>
      </c>
      <c r="B247" s="166">
        <v>306.2</v>
      </c>
      <c r="C247" s="9" t="s">
        <v>12</v>
      </c>
      <c r="D247" s="10">
        <f>B247/28/40*40</f>
        <v>10.935714285714283</v>
      </c>
      <c r="E247" s="1">
        <v>0.7</v>
      </c>
      <c r="F247" s="95">
        <v>0.7</v>
      </c>
      <c r="G247" s="109">
        <f t="shared" si="22"/>
        <v>0.29999999999999993</v>
      </c>
      <c r="H247" s="109">
        <v>0.29999999999999993</v>
      </c>
      <c r="I247" s="109">
        <v>0.7</v>
      </c>
      <c r="J247" s="113">
        <f t="shared" si="23"/>
        <v>0.29999999999999993</v>
      </c>
      <c r="K247" s="12" t="s">
        <v>201</v>
      </c>
      <c r="L247" s="12"/>
      <c r="M247" s="129">
        <v>0.29999999999999993</v>
      </c>
      <c r="N247" s="142">
        <f t="shared" si="24"/>
        <v>264.06688000000003</v>
      </c>
      <c r="O247" s="128">
        <f t="shared" si="25"/>
        <v>113.17151999999999</v>
      </c>
      <c r="P247" s="159">
        <f t="shared" si="26"/>
        <v>264.10000000000002</v>
      </c>
      <c r="Q247" s="160">
        <f t="shared" si="27"/>
        <v>113.2</v>
      </c>
    </row>
    <row r="248" spans="1:17" ht="46.5" thickTop="1" thickBot="1">
      <c r="A248" s="12" t="s">
        <v>200</v>
      </c>
      <c r="B248" s="166">
        <v>492</v>
      </c>
      <c r="C248" s="10" t="s">
        <v>12</v>
      </c>
      <c r="D248" s="10">
        <f>B248/28/80*40</f>
        <v>8.7857142857142865</v>
      </c>
      <c r="E248" s="1">
        <v>0.7</v>
      </c>
      <c r="F248" s="95">
        <v>0.7</v>
      </c>
      <c r="G248" s="109">
        <f t="shared" si="22"/>
        <v>0.29999999999999993</v>
      </c>
      <c r="H248" s="109">
        <v>0.29999999999999993</v>
      </c>
      <c r="I248" s="109">
        <v>0.7</v>
      </c>
      <c r="J248" s="113">
        <f t="shared" si="23"/>
        <v>0.29999999999999993</v>
      </c>
      <c r="K248" s="12" t="s">
        <v>201</v>
      </c>
      <c r="L248" s="12"/>
      <c r="M248" s="129">
        <v>0.29999999999999993</v>
      </c>
      <c r="N248" s="142">
        <f t="shared" si="24"/>
        <v>424.30080000000004</v>
      </c>
      <c r="O248" s="128">
        <f t="shared" si="25"/>
        <v>181.8432</v>
      </c>
      <c r="P248" s="159">
        <f t="shared" si="26"/>
        <v>424.3</v>
      </c>
      <c r="Q248" s="160">
        <f t="shared" si="27"/>
        <v>181.8</v>
      </c>
    </row>
    <row r="249" spans="1:17" ht="46.5" thickTop="1" thickBot="1">
      <c r="A249" s="53" t="s">
        <v>202</v>
      </c>
      <c r="B249" s="166">
        <v>252.4</v>
      </c>
      <c r="C249" s="10" t="s">
        <v>12</v>
      </c>
      <c r="D249" s="84">
        <f>B249/30/40*40</f>
        <v>8.413333333333334</v>
      </c>
      <c r="E249" s="1">
        <v>0.65</v>
      </c>
      <c r="F249" s="95">
        <v>0.65</v>
      </c>
      <c r="G249" s="109">
        <f t="shared" si="22"/>
        <v>0.25</v>
      </c>
      <c r="H249" s="109">
        <v>0.25</v>
      </c>
      <c r="I249" s="109">
        <v>0.65</v>
      </c>
      <c r="J249" s="113">
        <f t="shared" si="23"/>
        <v>0.25</v>
      </c>
      <c r="K249" s="12" t="s">
        <v>201</v>
      </c>
      <c r="L249" s="12"/>
      <c r="M249" s="129">
        <v>0.25</v>
      </c>
      <c r="N249" s="142">
        <f t="shared" si="24"/>
        <v>202.12192000000005</v>
      </c>
      <c r="O249" s="128">
        <f t="shared" si="25"/>
        <v>77.739200000000025</v>
      </c>
      <c r="P249" s="159">
        <f t="shared" si="26"/>
        <v>202.1</v>
      </c>
      <c r="Q249" s="160">
        <f t="shared" si="27"/>
        <v>77.7</v>
      </c>
    </row>
    <row r="250" spans="1:17" ht="46.5" thickTop="1" thickBot="1">
      <c r="A250" s="53" t="s">
        <v>202</v>
      </c>
      <c r="B250" s="166">
        <v>421.8</v>
      </c>
      <c r="C250" s="10" t="s">
        <v>12</v>
      </c>
      <c r="D250" s="84">
        <f>B250/30/80*40</f>
        <v>7.0300000000000011</v>
      </c>
      <c r="E250" s="1">
        <v>0.65</v>
      </c>
      <c r="F250" s="95">
        <v>0.65</v>
      </c>
      <c r="G250" s="109">
        <f t="shared" si="22"/>
        <v>0.25</v>
      </c>
      <c r="H250" s="109">
        <v>0.25</v>
      </c>
      <c r="I250" s="109">
        <v>0.65</v>
      </c>
      <c r="J250" s="113">
        <f t="shared" si="23"/>
        <v>0.25</v>
      </c>
      <c r="K250" s="12" t="s">
        <v>201</v>
      </c>
      <c r="L250" s="12"/>
      <c r="M250" s="129">
        <v>0.25</v>
      </c>
      <c r="N250" s="142">
        <f t="shared" si="24"/>
        <v>337.77744000000007</v>
      </c>
      <c r="O250" s="128">
        <f t="shared" si="25"/>
        <v>129.91440000000003</v>
      </c>
      <c r="P250" s="159">
        <f t="shared" si="26"/>
        <v>337.8</v>
      </c>
      <c r="Q250" s="160">
        <f t="shared" si="27"/>
        <v>129.9</v>
      </c>
    </row>
    <row r="251" spans="1:17" ht="46.5" thickTop="1" thickBot="1">
      <c r="A251" s="53" t="s">
        <v>203</v>
      </c>
      <c r="B251" s="166">
        <v>235.6</v>
      </c>
      <c r="C251" s="10" t="s">
        <v>12</v>
      </c>
      <c r="D251" s="29">
        <f>B251/28/40*40</f>
        <v>8.4142857142857146</v>
      </c>
      <c r="E251" s="1">
        <v>0.65</v>
      </c>
      <c r="F251" s="95">
        <v>0.65</v>
      </c>
      <c r="G251" s="109">
        <f t="shared" si="22"/>
        <v>0.25</v>
      </c>
      <c r="H251" s="109">
        <v>0.25</v>
      </c>
      <c r="I251" s="109">
        <v>0.65</v>
      </c>
      <c r="J251" s="113">
        <f t="shared" si="23"/>
        <v>0.25</v>
      </c>
      <c r="K251" s="12" t="s">
        <v>201</v>
      </c>
      <c r="L251" s="12"/>
      <c r="M251" s="129">
        <v>0.25</v>
      </c>
      <c r="N251" s="142">
        <f t="shared" si="24"/>
        <v>188.66848000000007</v>
      </c>
      <c r="O251" s="128">
        <f t="shared" si="25"/>
        <v>72.564800000000005</v>
      </c>
      <c r="P251" s="159">
        <f t="shared" si="26"/>
        <v>188.7</v>
      </c>
      <c r="Q251" s="160">
        <f t="shared" si="27"/>
        <v>72.599999999999994</v>
      </c>
    </row>
    <row r="252" spans="1:17" ht="46.5" thickTop="1" thickBot="1">
      <c r="A252" s="53" t="s">
        <v>203</v>
      </c>
      <c r="B252" s="166">
        <v>393.7</v>
      </c>
      <c r="C252" s="10" t="s">
        <v>12</v>
      </c>
      <c r="D252" s="29">
        <f>B252/28/80*40</f>
        <v>7.0303571428571416</v>
      </c>
      <c r="E252" s="1">
        <v>0.65</v>
      </c>
      <c r="F252" s="95">
        <v>0.65</v>
      </c>
      <c r="G252" s="109">
        <f t="shared" si="22"/>
        <v>0.25</v>
      </c>
      <c r="H252" s="109">
        <v>0.25</v>
      </c>
      <c r="I252" s="109">
        <v>0.65</v>
      </c>
      <c r="J252" s="113">
        <f t="shared" si="23"/>
        <v>0.25</v>
      </c>
      <c r="K252" s="12" t="s">
        <v>201</v>
      </c>
      <c r="L252" s="12"/>
      <c r="M252" s="129">
        <v>0.25</v>
      </c>
      <c r="N252" s="142">
        <f t="shared" si="24"/>
        <v>315.27496000000002</v>
      </c>
      <c r="O252" s="128">
        <f t="shared" si="25"/>
        <v>121.25960000000002</v>
      </c>
      <c r="P252" s="159">
        <f t="shared" si="26"/>
        <v>315.3</v>
      </c>
      <c r="Q252" s="160">
        <f t="shared" si="27"/>
        <v>121.3</v>
      </c>
    </row>
    <row r="253" spans="1:17" ht="46.5" thickTop="1" thickBot="1">
      <c r="A253" s="12" t="s">
        <v>204</v>
      </c>
      <c r="B253" s="166">
        <v>235.6</v>
      </c>
      <c r="C253" s="10" t="s">
        <v>205</v>
      </c>
      <c r="D253" s="10">
        <f>B253/28/40*40</f>
        <v>8.4142857142857146</v>
      </c>
      <c r="E253" s="1">
        <v>0.65</v>
      </c>
      <c r="F253" s="95">
        <v>0.65</v>
      </c>
      <c r="G253" s="109">
        <f t="shared" si="22"/>
        <v>0.25</v>
      </c>
      <c r="H253" s="109">
        <v>0.25</v>
      </c>
      <c r="I253" s="109">
        <v>0.65</v>
      </c>
      <c r="J253" s="113">
        <f t="shared" si="23"/>
        <v>0.25</v>
      </c>
      <c r="K253" s="12" t="s">
        <v>201</v>
      </c>
      <c r="L253" s="12"/>
      <c r="M253" s="129">
        <v>0.25</v>
      </c>
      <c r="N253" s="142">
        <f t="shared" si="24"/>
        <v>188.66848000000007</v>
      </c>
      <c r="O253" s="128">
        <f t="shared" si="25"/>
        <v>72.564800000000005</v>
      </c>
      <c r="P253" s="159">
        <f t="shared" si="26"/>
        <v>188.7</v>
      </c>
      <c r="Q253" s="160">
        <f t="shared" si="27"/>
        <v>72.599999999999994</v>
      </c>
    </row>
    <row r="254" spans="1:17" ht="46.5" thickTop="1" thickBot="1">
      <c r="A254" s="12" t="s">
        <v>204</v>
      </c>
      <c r="B254" s="166">
        <v>393.7</v>
      </c>
      <c r="C254" s="10" t="s">
        <v>205</v>
      </c>
      <c r="D254" s="10">
        <f>B254/28/80*40</f>
        <v>7.0303571428571416</v>
      </c>
      <c r="E254" s="1">
        <v>0.65</v>
      </c>
      <c r="F254" s="95">
        <v>0.65</v>
      </c>
      <c r="G254" s="109">
        <f t="shared" ref="G254:G317" si="31">IF(AND(F254&gt;=0.15, F254&lt;=0.45), 0.1, IF(AND(F254&gt;=0.5, F254&lt;=0.9), F254-0.4, F254))</f>
        <v>0.25</v>
      </c>
      <c r="H254" s="109">
        <v>0.25</v>
      </c>
      <c r="I254" s="109">
        <v>0.65</v>
      </c>
      <c r="J254" s="113">
        <f t="shared" ref="J254:J317" si="32">H254</f>
        <v>0.25</v>
      </c>
      <c r="K254" s="12" t="s">
        <v>201</v>
      </c>
      <c r="L254" s="12"/>
      <c r="M254" s="129">
        <v>0.25</v>
      </c>
      <c r="N254" s="142">
        <f t="shared" si="24"/>
        <v>315.27496000000002</v>
      </c>
      <c r="O254" s="128">
        <f t="shared" si="25"/>
        <v>121.25960000000002</v>
      </c>
      <c r="P254" s="159">
        <f t="shared" si="26"/>
        <v>315.3</v>
      </c>
      <c r="Q254" s="160">
        <f t="shared" si="27"/>
        <v>121.3</v>
      </c>
    </row>
    <row r="255" spans="1:17" ht="46.5" thickTop="1" thickBot="1">
      <c r="A255" s="12" t="s">
        <v>206</v>
      </c>
      <c r="B255" s="166">
        <v>244.7</v>
      </c>
      <c r="C255" s="10" t="s">
        <v>74</v>
      </c>
      <c r="D255" s="10">
        <f>B255/30</f>
        <v>8.1566666666666663</v>
      </c>
      <c r="E255" s="1">
        <v>0.35</v>
      </c>
      <c r="F255" s="95">
        <v>0.35</v>
      </c>
      <c r="G255" s="109">
        <f t="shared" si="31"/>
        <v>0.1</v>
      </c>
      <c r="H255" s="109">
        <v>0.1</v>
      </c>
      <c r="I255" s="109">
        <v>0.35</v>
      </c>
      <c r="J255" s="113">
        <f t="shared" si="32"/>
        <v>0.1</v>
      </c>
      <c r="K255" s="12" t="s">
        <v>158</v>
      </c>
      <c r="L255" s="12"/>
      <c r="M255" s="129">
        <v>0.1</v>
      </c>
      <c r="N255" s="142">
        <f t="shared" si="24"/>
        <v>105.51464000000001</v>
      </c>
      <c r="O255" s="128">
        <f t="shared" si="25"/>
        <v>30.147040000000004</v>
      </c>
      <c r="P255" s="159">
        <f t="shared" si="26"/>
        <v>105.5</v>
      </c>
      <c r="Q255" s="160">
        <f t="shared" si="27"/>
        <v>30.1</v>
      </c>
    </row>
    <row r="256" spans="1:17" ht="46.5" thickTop="1" thickBot="1">
      <c r="A256" s="12" t="s">
        <v>207</v>
      </c>
      <c r="B256" s="166">
        <v>228.4</v>
      </c>
      <c r="C256" s="10" t="s">
        <v>74</v>
      </c>
      <c r="D256" s="10">
        <f>B256/28</f>
        <v>8.1571428571428566</v>
      </c>
      <c r="E256" s="1">
        <v>0.35</v>
      </c>
      <c r="F256" s="95">
        <v>0.35</v>
      </c>
      <c r="G256" s="109">
        <f t="shared" si="31"/>
        <v>0.1</v>
      </c>
      <c r="H256" s="109">
        <v>0.1</v>
      </c>
      <c r="I256" s="109">
        <v>0.35</v>
      </c>
      <c r="J256" s="113">
        <f t="shared" si="32"/>
        <v>0.1</v>
      </c>
      <c r="K256" s="12" t="s">
        <v>158</v>
      </c>
      <c r="L256" s="12"/>
      <c r="M256" s="129">
        <v>0.1</v>
      </c>
      <c r="N256" s="142">
        <f t="shared" si="24"/>
        <v>98.486080000000015</v>
      </c>
      <c r="O256" s="128">
        <f t="shared" si="25"/>
        <v>28.138880000000011</v>
      </c>
      <c r="P256" s="159">
        <f t="shared" si="26"/>
        <v>98.5</v>
      </c>
      <c r="Q256" s="160">
        <f t="shared" si="27"/>
        <v>28.1</v>
      </c>
    </row>
    <row r="257" spans="1:17" ht="46.5" thickTop="1" thickBot="1">
      <c r="A257" s="12" t="s">
        <v>208</v>
      </c>
      <c r="B257" s="166">
        <v>407.9</v>
      </c>
      <c r="C257" s="10" t="s">
        <v>74</v>
      </c>
      <c r="D257" s="10">
        <f>B257/28</f>
        <v>14.567857142857141</v>
      </c>
      <c r="E257" s="1">
        <v>0.35</v>
      </c>
      <c r="F257" s="95">
        <v>0.35</v>
      </c>
      <c r="G257" s="109">
        <f t="shared" si="31"/>
        <v>0.1</v>
      </c>
      <c r="H257" s="109">
        <v>0.1</v>
      </c>
      <c r="I257" s="109">
        <v>0.35</v>
      </c>
      <c r="J257" s="113">
        <f t="shared" si="32"/>
        <v>0.1</v>
      </c>
      <c r="K257" s="12" t="s">
        <v>158</v>
      </c>
      <c r="L257" s="12"/>
      <c r="M257" s="129">
        <v>0.1</v>
      </c>
      <c r="N257" s="142">
        <f t="shared" si="24"/>
        <v>175.88648000000003</v>
      </c>
      <c r="O257" s="128">
        <f t="shared" si="25"/>
        <v>50.253280000000004</v>
      </c>
      <c r="P257" s="159">
        <f t="shared" si="26"/>
        <v>175.9</v>
      </c>
      <c r="Q257" s="160">
        <f t="shared" si="27"/>
        <v>50.3</v>
      </c>
    </row>
    <row r="258" spans="1:17" ht="46.5" thickTop="1" thickBot="1">
      <c r="A258" s="12" t="s">
        <v>209</v>
      </c>
      <c r="B258" s="166">
        <v>244.7</v>
      </c>
      <c r="C258" s="9" t="s">
        <v>210</v>
      </c>
      <c r="D258" s="10">
        <f>B258/30*1</f>
        <v>8.1566666666666663</v>
      </c>
      <c r="E258" s="5">
        <v>0.35</v>
      </c>
      <c r="F258" s="100">
        <v>0.35</v>
      </c>
      <c r="G258" s="109">
        <f t="shared" si="31"/>
        <v>0.1</v>
      </c>
      <c r="H258" s="109">
        <v>0.1</v>
      </c>
      <c r="I258" s="109">
        <v>0.35</v>
      </c>
      <c r="J258" s="113">
        <f t="shared" si="32"/>
        <v>0.1</v>
      </c>
      <c r="K258" s="12" t="s">
        <v>158</v>
      </c>
      <c r="L258" s="12"/>
      <c r="M258" s="129">
        <v>0.1</v>
      </c>
      <c r="N258" s="142">
        <f t="shared" si="24"/>
        <v>105.51464000000001</v>
      </c>
      <c r="O258" s="128">
        <f t="shared" si="25"/>
        <v>30.147040000000004</v>
      </c>
      <c r="P258" s="159">
        <f t="shared" si="26"/>
        <v>105.5</v>
      </c>
      <c r="Q258" s="160">
        <f t="shared" si="27"/>
        <v>30.1</v>
      </c>
    </row>
    <row r="259" spans="1:17" ht="46.5" thickTop="1" thickBot="1">
      <c r="A259" s="12" t="s">
        <v>211</v>
      </c>
      <c r="B259" s="166">
        <v>272.5</v>
      </c>
      <c r="C259" s="10" t="s">
        <v>74</v>
      </c>
      <c r="D259" s="10">
        <f t="shared" ref="D259:D264" si="33">B259/28</f>
        <v>9.7321428571428577</v>
      </c>
      <c r="E259" s="1">
        <v>0.5</v>
      </c>
      <c r="F259" s="95">
        <v>0.5</v>
      </c>
      <c r="G259" s="109">
        <f t="shared" si="31"/>
        <v>9.9999999999999978E-2</v>
      </c>
      <c r="H259" s="109">
        <v>9.9999999999999978E-2</v>
      </c>
      <c r="I259" s="109">
        <v>0.5</v>
      </c>
      <c r="J259" s="113">
        <f t="shared" si="32"/>
        <v>9.9999999999999978E-2</v>
      </c>
      <c r="K259" s="12" t="s">
        <v>212</v>
      </c>
      <c r="L259" s="12"/>
      <c r="M259" s="129">
        <v>9.9999999999999978E-2</v>
      </c>
      <c r="N259" s="142">
        <f t="shared" ref="N259:N322" si="34">B259*I259*1.12*1.1</f>
        <v>167.86000000000004</v>
      </c>
      <c r="O259" s="128">
        <f t="shared" ref="O259:O322" si="35">B259*M259*1.12*1.1</f>
        <v>33.571999999999996</v>
      </c>
      <c r="P259" s="159">
        <f t="shared" ref="P259:P322" si="36">ROUND(N259, 1)</f>
        <v>167.9</v>
      </c>
      <c r="Q259" s="160">
        <f t="shared" ref="Q259:Q322" si="37">ROUND(O259, 1)</f>
        <v>33.6</v>
      </c>
    </row>
    <row r="260" spans="1:17" ht="46.5" thickTop="1" thickBot="1">
      <c r="A260" s="12" t="s">
        <v>211</v>
      </c>
      <c r="B260" s="166">
        <v>289.39999999999998</v>
      </c>
      <c r="C260" s="10" t="s">
        <v>74</v>
      </c>
      <c r="D260" s="10">
        <f t="shared" si="33"/>
        <v>10.335714285714285</v>
      </c>
      <c r="E260" s="1">
        <v>0.5</v>
      </c>
      <c r="F260" s="95">
        <v>0.5</v>
      </c>
      <c r="G260" s="109">
        <f t="shared" si="31"/>
        <v>9.9999999999999978E-2</v>
      </c>
      <c r="H260" s="109">
        <v>9.9999999999999978E-2</v>
      </c>
      <c r="I260" s="109">
        <v>0.5</v>
      </c>
      <c r="J260" s="113">
        <f t="shared" si="32"/>
        <v>9.9999999999999978E-2</v>
      </c>
      <c r="K260" s="12" t="s">
        <v>212</v>
      </c>
      <c r="L260" s="12"/>
      <c r="M260" s="129">
        <v>9.9999999999999978E-2</v>
      </c>
      <c r="N260" s="142">
        <f t="shared" si="34"/>
        <v>178.2704</v>
      </c>
      <c r="O260" s="128">
        <f t="shared" si="35"/>
        <v>35.654079999999993</v>
      </c>
      <c r="P260" s="159">
        <f t="shared" si="36"/>
        <v>178.3</v>
      </c>
      <c r="Q260" s="160">
        <f t="shared" si="37"/>
        <v>35.700000000000003</v>
      </c>
    </row>
    <row r="261" spans="1:17" ht="46.5" thickTop="1" thickBot="1">
      <c r="A261" s="53" t="s">
        <v>211</v>
      </c>
      <c r="B261" s="166">
        <v>228.3</v>
      </c>
      <c r="C261" s="10" t="s">
        <v>74</v>
      </c>
      <c r="D261" s="84">
        <f t="shared" si="33"/>
        <v>8.1535714285714285</v>
      </c>
      <c r="E261" s="1">
        <v>0.5</v>
      </c>
      <c r="F261" s="95">
        <v>0.5</v>
      </c>
      <c r="G261" s="109">
        <f t="shared" si="31"/>
        <v>9.9999999999999978E-2</v>
      </c>
      <c r="H261" s="109">
        <v>9.9999999999999978E-2</v>
      </c>
      <c r="I261" s="109">
        <v>0.5</v>
      </c>
      <c r="J261" s="113">
        <f t="shared" si="32"/>
        <v>9.9999999999999978E-2</v>
      </c>
      <c r="K261" s="12" t="s">
        <v>212</v>
      </c>
      <c r="L261" s="12"/>
      <c r="M261" s="129">
        <v>9.9999999999999978E-2</v>
      </c>
      <c r="N261" s="142">
        <f t="shared" si="34"/>
        <v>140.63280000000003</v>
      </c>
      <c r="O261" s="128">
        <f t="shared" si="35"/>
        <v>28.126560000000001</v>
      </c>
      <c r="P261" s="159">
        <f t="shared" si="36"/>
        <v>140.6</v>
      </c>
      <c r="Q261" s="160">
        <f t="shared" si="37"/>
        <v>28.1</v>
      </c>
    </row>
    <row r="262" spans="1:17" ht="46.5" thickTop="1" thickBot="1">
      <c r="A262" s="53" t="s">
        <v>213</v>
      </c>
      <c r="B262" s="166">
        <v>289.39999999999998</v>
      </c>
      <c r="C262" s="10" t="s">
        <v>74</v>
      </c>
      <c r="D262" s="84">
        <f t="shared" si="33"/>
        <v>10.335714285714285</v>
      </c>
      <c r="E262" s="1">
        <v>0.5</v>
      </c>
      <c r="F262" s="95">
        <v>0.5</v>
      </c>
      <c r="G262" s="109">
        <f t="shared" si="31"/>
        <v>9.9999999999999978E-2</v>
      </c>
      <c r="H262" s="109">
        <v>9.9999999999999978E-2</v>
      </c>
      <c r="I262" s="109">
        <v>0.5</v>
      </c>
      <c r="J262" s="113">
        <f t="shared" si="32"/>
        <v>9.9999999999999978E-2</v>
      </c>
      <c r="K262" s="12" t="s">
        <v>212</v>
      </c>
      <c r="L262" s="12"/>
      <c r="M262" s="129">
        <v>9.9999999999999978E-2</v>
      </c>
      <c r="N262" s="142">
        <f t="shared" si="34"/>
        <v>178.2704</v>
      </c>
      <c r="O262" s="128">
        <f t="shared" si="35"/>
        <v>35.654079999999993</v>
      </c>
      <c r="P262" s="159">
        <f t="shared" si="36"/>
        <v>178.3</v>
      </c>
      <c r="Q262" s="160">
        <f t="shared" si="37"/>
        <v>35.700000000000003</v>
      </c>
    </row>
    <row r="263" spans="1:17" ht="46.5" thickTop="1" thickBot="1">
      <c r="A263" s="53" t="s">
        <v>213</v>
      </c>
      <c r="B263" s="166">
        <v>272.5</v>
      </c>
      <c r="C263" s="10" t="s">
        <v>74</v>
      </c>
      <c r="D263" s="84">
        <f t="shared" si="33"/>
        <v>9.7321428571428577</v>
      </c>
      <c r="E263" s="1">
        <v>0.5</v>
      </c>
      <c r="F263" s="95">
        <v>0.5</v>
      </c>
      <c r="G263" s="109">
        <f t="shared" si="31"/>
        <v>9.9999999999999978E-2</v>
      </c>
      <c r="H263" s="109">
        <v>9.9999999999999978E-2</v>
      </c>
      <c r="I263" s="109">
        <v>0.5</v>
      </c>
      <c r="J263" s="113">
        <f t="shared" si="32"/>
        <v>9.9999999999999978E-2</v>
      </c>
      <c r="K263" s="12" t="s">
        <v>212</v>
      </c>
      <c r="L263" s="12"/>
      <c r="M263" s="129">
        <v>9.9999999999999978E-2</v>
      </c>
      <c r="N263" s="142">
        <f t="shared" si="34"/>
        <v>167.86000000000004</v>
      </c>
      <c r="O263" s="128">
        <f t="shared" si="35"/>
        <v>33.571999999999996</v>
      </c>
      <c r="P263" s="159">
        <f t="shared" si="36"/>
        <v>167.9</v>
      </c>
      <c r="Q263" s="160">
        <f t="shared" si="37"/>
        <v>33.6</v>
      </c>
    </row>
    <row r="264" spans="1:17" ht="46.5" thickTop="1" thickBot="1">
      <c r="A264" s="53" t="s">
        <v>213</v>
      </c>
      <c r="B264" s="166">
        <v>228.3</v>
      </c>
      <c r="C264" s="10" t="s">
        <v>74</v>
      </c>
      <c r="D264" s="84">
        <f t="shared" si="33"/>
        <v>8.1535714285714285</v>
      </c>
      <c r="E264" s="1">
        <v>0.5</v>
      </c>
      <c r="F264" s="95">
        <v>0.5</v>
      </c>
      <c r="G264" s="109">
        <f t="shared" si="31"/>
        <v>9.9999999999999978E-2</v>
      </c>
      <c r="H264" s="109">
        <v>9.9999999999999978E-2</v>
      </c>
      <c r="I264" s="109">
        <v>0.5</v>
      </c>
      <c r="J264" s="113">
        <f t="shared" si="32"/>
        <v>9.9999999999999978E-2</v>
      </c>
      <c r="K264" s="12" t="s">
        <v>212</v>
      </c>
      <c r="L264" s="12"/>
      <c r="M264" s="129">
        <v>9.9999999999999978E-2</v>
      </c>
      <c r="N264" s="142">
        <f t="shared" si="34"/>
        <v>140.63280000000003</v>
      </c>
      <c r="O264" s="128">
        <f t="shared" si="35"/>
        <v>28.126560000000001</v>
      </c>
      <c r="P264" s="159">
        <f t="shared" si="36"/>
        <v>140.6</v>
      </c>
      <c r="Q264" s="160">
        <f t="shared" si="37"/>
        <v>28.1</v>
      </c>
    </row>
    <row r="265" spans="1:17" ht="46.5" thickTop="1" thickBot="1">
      <c r="A265" s="41" t="s">
        <v>214</v>
      </c>
      <c r="B265" s="167">
        <v>244.6</v>
      </c>
      <c r="C265" s="10" t="s">
        <v>74</v>
      </c>
      <c r="D265" s="10">
        <f t="shared" ref="D265:D272" si="38">B265/30</f>
        <v>8.1533333333333324</v>
      </c>
      <c r="E265" s="1">
        <v>0.5</v>
      </c>
      <c r="F265" s="95">
        <v>0.5</v>
      </c>
      <c r="G265" s="109">
        <f t="shared" si="31"/>
        <v>9.9999999999999978E-2</v>
      </c>
      <c r="H265" s="109">
        <v>9.9999999999999978E-2</v>
      </c>
      <c r="I265" s="109">
        <v>0.5</v>
      </c>
      <c r="J265" s="113">
        <f t="shared" si="32"/>
        <v>9.9999999999999978E-2</v>
      </c>
      <c r="K265" s="41" t="s">
        <v>212</v>
      </c>
      <c r="L265" s="41"/>
      <c r="M265" s="130">
        <v>9.9999999999999978E-2</v>
      </c>
      <c r="N265" s="142">
        <f t="shared" si="34"/>
        <v>150.67360000000002</v>
      </c>
      <c r="O265" s="128">
        <f t="shared" si="35"/>
        <v>30.134719999999998</v>
      </c>
      <c r="P265" s="159">
        <f t="shared" si="36"/>
        <v>150.69999999999999</v>
      </c>
      <c r="Q265" s="160">
        <f t="shared" si="37"/>
        <v>30.1</v>
      </c>
    </row>
    <row r="266" spans="1:17" ht="46.5" thickTop="1" thickBot="1">
      <c r="A266" s="41" t="s">
        <v>214</v>
      </c>
      <c r="B266" s="167">
        <v>292</v>
      </c>
      <c r="C266" s="10" t="s">
        <v>74</v>
      </c>
      <c r="D266" s="10">
        <f t="shared" si="38"/>
        <v>9.7333333333333325</v>
      </c>
      <c r="E266" s="1">
        <v>0.5</v>
      </c>
      <c r="F266" s="95">
        <v>0.5</v>
      </c>
      <c r="G266" s="109">
        <f t="shared" si="31"/>
        <v>9.9999999999999978E-2</v>
      </c>
      <c r="H266" s="109">
        <v>9.9999999999999978E-2</v>
      </c>
      <c r="I266" s="109">
        <v>0.5</v>
      </c>
      <c r="J266" s="113">
        <f t="shared" si="32"/>
        <v>9.9999999999999978E-2</v>
      </c>
      <c r="K266" s="41" t="s">
        <v>212</v>
      </c>
      <c r="L266" s="41"/>
      <c r="M266" s="130">
        <v>9.9999999999999978E-2</v>
      </c>
      <c r="N266" s="142">
        <f t="shared" si="34"/>
        <v>179.87200000000001</v>
      </c>
      <c r="O266" s="128">
        <f t="shared" si="35"/>
        <v>35.974399999999996</v>
      </c>
      <c r="P266" s="159">
        <f t="shared" si="36"/>
        <v>179.9</v>
      </c>
      <c r="Q266" s="160">
        <f t="shared" si="37"/>
        <v>36</v>
      </c>
    </row>
    <row r="267" spans="1:17" ht="46.5" thickTop="1" thickBot="1">
      <c r="A267" s="41" t="s">
        <v>214</v>
      </c>
      <c r="B267" s="167">
        <v>310.10000000000002</v>
      </c>
      <c r="C267" s="10" t="s">
        <v>74</v>
      </c>
      <c r="D267" s="10">
        <f t="shared" si="38"/>
        <v>10.336666666666668</v>
      </c>
      <c r="E267" s="1">
        <v>0.5</v>
      </c>
      <c r="F267" s="95">
        <v>0.5</v>
      </c>
      <c r="G267" s="109">
        <f t="shared" si="31"/>
        <v>9.9999999999999978E-2</v>
      </c>
      <c r="H267" s="109">
        <v>9.9999999999999978E-2</v>
      </c>
      <c r="I267" s="109">
        <v>0.5</v>
      </c>
      <c r="J267" s="113">
        <f t="shared" si="32"/>
        <v>9.9999999999999978E-2</v>
      </c>
      <c r="K267" s="41" t="s">
        <v>212</v>
      </c>
      <c r="L267" s="41"/>
      <c r="M267" s="130">
        <v>9.9999999999999978E-2</v>
      </c>
      <c r="N267" s="142">
        <f t="shared" si="34"/>
        <v>191.02160000000006</v>
      </c>
      <c r="O267" s="128">
        <f t="shared" si="35"/>
        <v>38.204319999999996</v>
      </c>
      <c r="P267" s="159">
        <f t="shared" si="36"/>
        <v>191</v>
      </c>
      <c r="Q267" s="160">
        <f t="shared" si="37"/>
        <v>38.200000000000003</v>
      </c>
    </row>
    <row r="268" spans="1:17" ht="46.5" thickTop="1" thickBot="1">
      <c r="A268" s="53" t="s">
        <v>213</v>
      </c>
      <c r="B268" s="166">
        <v>244.6</v>
      </c>
      <c r="C268" s="10" t="s">
        <v>74</v>
      </c>
      <c r="D268" s="31">
        <f t="shared" si="38"/>
        <v>8.1533333333333324</v>
      </c>
      <c r="E268" s="5">
        <v>0.5</v>
      </c>
      <c r="F268" s="100">
        <v>0.5</v>
      </c>
      <c r="G268" s="109">
        <f t="shared" si="31"/>
        <v>9.9999999999999978E-2</v>
      </c>
      <c r="H268" s="109">
        <v>9.9999999999999978E-2</v>
      </c>
      <c r="I268" s="109">
        <v>0.5</v>
      </c>
      <c r="J268" s="113">
        <f t="shared" si="32"/>
        <v>9.9999999999999978E-2</v>
      </c>
      <c r="K268" s="12" t="s">
        <v>212</v>
      </c>
      <c r="L268" s="12"/>
      <c r="M268" s="129">
        <v>9.9999999999999978E-2</v>
      </c>
      <c r="N268" s="142">
        <f t="shared" si="34"/>
        <v>150.67360000000002</v>
      </c>
      <c r="O268" s="128">
        <f t="shared" si="35"/>
        <v>30.134719999999998</v>
      </c>
      <c r="P268" s="159">
        <f t="shared" si="36"/>
        <v>150.69999999999999</v>
      </c>
      <c r="Q268" s="160">
        <f t="shared" si="37"/>
        <v>30.1</v>
      </c>
    </row>
    <row r="269" spans="1:17" ht="46.5" thickTop="1" thickBot="1">
      <c r="A269" s="53" t="s">
        <v>213</v>
      </c>
      <c r="B269" s="166">
        <v>292</v>
      </c>
      <c r="C269" s="10" t="s">
        <v>74</v>
      </c>
      <c r="D269" s="31">
        <f t="shared" si="38"/>
        <v>9.7333333333333325</v>
      </c>
      <c r="E269" s="5">
        <v>0.5</v>
      </c>
      <c r="F269" s="100">
        <v>0.5</v>
      </c>
      <c r="G269" s="109">
        <f t="shared" si="31"/>
        <v>9.9999999999999978E-2</v>
      </c>
      <c r="H269" s="109">
        <v>9.9999999999999978E-2</v>
      </c>
      <c r="I269" s="109">
        <v>0.5</v>
      </c>
      <c r="J269" s="113">
        <f t="shared" si="32"/>
        <v>9.9999999999999978E-2</v>
      </c>
      <c r="K269" s="12" t="s">
        <v>212</v>
      </c>
      <c r="L269" s="12"/>
      <c r="M269" s="129">
        <v>9.9999999999999978E-2</v>
      </c>
      <c r="N269" s="142">
        <f t="shared" si="34"/>
        <v>179.87200000000001</v>
      </c>
      <c r="O269" s="128">
        <f t="shared" si="35"/>
        <v>35.974399999999996</v>
      </c>
      <c r="P269" s="159">
        <f t="shared" si="36"/>
        <v>179.9</v>
      </c>
      <c r="Q269" s="160">
        <f t="shared" si="37"/>
        <v>36</v>
      </c>
    </row>
    <row r="270" spans="1:17" ht="46.5" thickTop="1" thickBot="1">
      <c r="A270" s="53" t="s">
        <v>213</v>
      </c>
      <c r="B270" s="166">
        <v>310.10000000000002</v>
      </c>
      <c r="C270" s="10" t="s">
        <v>74</v>
      </c>
      <c r="D270" s="31">
        <f t="shared" si="38"/>
        <v>10.336666666666668</v>
      </c>
      <c r="E270" s="5">
        <v>0.5</v>
      </c>
      <c r="F270" s="100">
        <v>0.5</v>
      </c>
      <c r="G270" s="109">
        <f t="shared" si="31"/>
        <v>9.9999999999999978E-2</v>
      </c>
      <c r="H270" s="109">
        <v>9.9999999999999978E-2</v>
      </c>
      <c r="I270" s="109">
        <v>0.5</v>
      </c>
      <c r="J270" s="113">
        <f t="shared" si="32"/>
        <v>9.9999999999999978E-2</v>
      </c>
      <c r="K270" s="12" t="s">
        <v>212</v>
      </c>
      <c r="L270" s="12"/>
      <c r="M270" s="129">
        <v>9.9999999999999978E-2</v>
      </c>
      <c r="N270" s="142">
        <f t="shared" si="34"/>
        <v>191.02160000000006</v>
      </c>
      <c r="O270" s="128">
        <f t="shared" si="35"/>
        <v>38.204319999999996</v>
      </c>
      <c r="P270" s="159">
        <f t="shared" si="36"/>
        <v>191</v>
      </c>
      <c r="Q270" s="160">
        <f t="shared" si="37"/>
        <v>38.200000000000003</v>
      </c>
    </row>
    <row r="271" spans="1:17" ht="46.5" thickTop="1" thickBot="1">
      <c r="A271" s="12" t="s">
        <v>215</v>
      </c>
      <c r="B271" s="166">
        <v>379.7</v>
      </c>
      <c r="C271" s="10" t="s">
        <v>74</v>
      </c>
      <c r="D271" s="10">
        <f t="shared" si="38"/>
        <v>12.656666666666666</v>
      </c>
      <c r="E271" s="11">
        <v>0.8</v>
      </c>
      <c r="F271" s="27">
        <v>0.8</v>
      </c>
      <c r="G271" s="109">
        <f t="shared" si="31"/>
        <v>0.4</v>
      </c>
      <c r="H271" s="109">
        <v>0.4</v>
      </c>
      <c r="I271" s="109">
        <v>0.8</v>
      </c>
      <c r="J271" s="113">
        <f t="shared" si="32"/>
        <v>0.4</v>
      </c>
      <c r="K271" s="12" t="s">
        <v>212</v>
      </c>
      <c r="L271" s="12"/>
      <c r="M271" s="129">
        <v>0.4</v>
      </c>
      <c r="N271" s="142">
        <f t="shared" si="34"/>
        <v>374.23232000000007</v>
      </c>
      <c r="O271" s="128">
        <f t="shared" si="35"/>
        <v>187.11616000000004</v>
      </c>
      <c r="P271" s="159">
        <f t="shared" si="36"/>
        <v>374.2</v>
      </c>
      <c r="Q271" s="160">
        <f t="shared" si="37"/>
        <v>187.1</v>
      </c>
    </row>
    <row r="272" spans="1:17" ht="46.5" thickTop="1" thickBot="1">
      <c r="A272" s="12" t="s">
        <v>215</v>
      </c>
      <c r="B272" s="166">
        <v>467.6</v>
      </c>
      <c r="C272" s="10" t="s">
        <v>74</v>
      </c>
      <c r="D272" s="10">
        <f t="shared" si="38"/>
        <v>15.586666666666668</v>
      </c>
      <c r="E272" s="11">
        <v>0.8</v>
      </c>
      <c r="F272" s="27">
        <v>0.8</v>
      </c>
      <c r="G272" s="109">
        <f t="shared" si="31"/>
        <v>0.4</v>
      </c>
      <c r="H272" s="109">
        <v>0.4</v>
      </c>
      <c r="I272" s="109">
        <v>0.8</v>
      </c>
      <c r="J272" s="113">
        <f t="shared" si="32"/>
        <v>0.4</v>
      </c>
      <c r="K272" s="12" t="s">
        <v>212</v>
      </c>
      <c r="L272" s="12"/>
      <c r="M272" s="129">
        <v>0.4</v>
      </c>
      <c r="N272" s="142">
        <f t="shared" si="34"/>
        <v>460.86656000000011</v>
      </c>
      <c r="O272" s="128">
        <f t="shared" si="35"/>
        <v>230.43328000000005</v>
      </c>
      <c r="P272" s="159">
        <f t="shared" si="36"/>
        <v>460.9</v>
      </c>
      <c r="Q272" s="160">
        <f t="shared" si="37"/>
        <v>230.4</v>
      </c>
    </row>
    <row r="273" spans="1:17" ht="46.5" thickTop="1" thickBot="1">
      <c r="A273" s="12" t="s">
        <v>216</v>
      </c>
      <c r="B273" s="166">
        <v>525.6</v>
      </c>
      <c r="C273" s="10" t="s">
        <v>74</v>
      </c>
      <c r="D273" s="10">
        <f>B273/28</f>
        <v>18.771428571428572</v>
      </c>
      <c r="E273" s="1">
        <v>0.75</v>
      </c>
      <c r="F273" s="95">
        <v>0.75</v>
      </c>
      <c r="G273" s="109">
        <f t="shared" si="31"/>
        <v>0.35</v>
      </c>
      <c r="H273" s="109">
        <v>0.35</v>
      </c>
      <c r="I273" s="109">
        <v>0.75</v>
      </c>
      <c r="J273" s="113">
        <f t="shared" si="32"/>
        <v>0.35</v>
      </c>
      <c r="K273" s="12" t="s">
        <v>212</v>
      </c>
      <c r="L273" s="12"/>
      <c r="M273" s="129">
        <v>0.35</v>
      </c>
      <c r="N273" s="142">
        <f t="shared" si="34"/>
        <v>485.65440000000012</v>
      </c>
      <c r="O273" s="128">
        <f t="shared" si="35"/>
        <v>226.63872000000006</v>
      </c>
      <c r="P273" s="159">
        <f t="shared" si="36"/>
        <v>485.7</v>
      </c>
      <c r="Q273" s="160">
        <f t="shared" si="37"/>
        <v>226.6</v>
      </c>
    </row>
    <row r="274" spans="1:17" ht="46.5" thickTop="1" thickBot="1">
      <c r="A274" s="16" t="s">
        <v>217</v>
      </c>
      <c r="B274" s="166">
        <v>307.39999999999998</v>
      </c>
      <c r="C274" s="10" t="s">
        <v>74</v>
      </c>
      <c r="D274" s="29">
        <f>B274/28</f>
        <v>10.978571428571428</v>
      </c>
      <c r="E274" s="1">
        <v>0.7</v>
      </c>
      <c r="F274" s="95">
        <v>0.7</v>
      </c>
      <c r="G274" s="109">
        <f t="shared" si="31"/>
        <v>0.29999999999999993</v>
      </c>
      <c r="H274" s="109">
        <v>0.29999999999999993</v>
      </c>
      <c r="I274" s="109">
        <v>0.7</v>
      </c>
      <c r="J274" s="113">
        <f t="shared" si="32"/>
        <v>0.29999999999999993</v>
      </c>
      <c r="K274" s="12" t="s">
        <v>212</v>
      </c>
      <c r="L274" s="12"/>
      <c r="M274" s="129">
        <v>0.29999999999999993</v>
      </c>
      <c r="N274" s="142">
        <f t="shared" si="34"/>
        <v>265.10176000000001</v>
      </c>
      <c r="O274" s="128">
        <f t="shared" si="35"/>
        <v>113.61503999999998</v>
      </c>
      <c r="P274" s="159">
        <f t="shared" si="36"/>
        <v>265.10000000000002</v>
      </c>
      <c r="Q274" s="160">
        <f t="shared" si="37"/>
        <v>113.6</v>
      </c>
    </row>
    <row r="275" spans="1:17" ht="46.5" thickTop="1" thickBot="1">
      <c r="A275" s="16" t="s">
        <v>217</v>
      </c>
      <c r="B275" s="166">
        <v>452.8</v>
      </c>
      <c r="C275" s="10" t="s">
        <v>74</v>
      </c>
      <c r="D275" s="30">
        <f>B275/28</f>
        <v>16.171428571428571</v>
      </c>
      <c r="E275" s="1">
        <v>0.7</v>
      </c>
      <c r="F275" s="95">
        <v>0.7</v>
      </c>
      <c r="G275" s="109">
        <f t="shared" si="31"/>
        <v>0.29999999999999993</v>
      </c>
      <c r="H275" s="109">
        <v>0.29999999999999993</v>
      </c>
      <c r="I275" s="109">
        <v>0.7</v>
      </c>
      <c r="J275" s="113">
        <f t="shared" si="32"/>
        <v>0.29999999999999993</v>
      </c>
      <c r="K275" s="12" t="s">
        <v>212</v>
      </c>
      <c r="L275" s="12"/>
      <c r="M275" s="129">
        <v>0.29999999999999993</v>
      </c>
      <c r="N275" s="142">
        <f t="shared" si="34"/>
        <v>390.49472000000003</v>
      </c>
      <c r="O275" s="128">
        <f t="shared" si="35"/>
        <v>167.35488000000001</v>
      </c>
      <c r="P275" s="159">
        <f t="shared" si="36"/>
        <v>390.5</v>
      </c>
      <c r="Q275" s="160">
        <f t="shared" si="37"/>
        <v>167.4</v>
      </c>
    </row>
    <row r="276" spans="1:17" ht="46.5" thickTop="1" thickBot="1">
      <c r="A276" s="16" t="s">
        <v>217</v>
      </c>
      <c r="B276" s="166">
        <v>476</v>
      </c>
      <c r="C276" s="10" t="s">
        <v>74</v>
      </c>
      <c r="D276" s="29">
        <f>B276/28</f>
        <v>17</v>
      </c>
      <c r="E276" s="1">
        <v>0.7</v>
      </c>
      <c r="F276" s="95">
        <v>0.7</v>
      </c>
      <c r="G276" s="109">
        <f t="shared" si="31"/>
        <v>0.29999999999999993</v>
      </c>
      <c r="H276" s="109">
        <v>0.29999999999999993</v>
      </c>
      <c r="I276" s="109">
        <v>0.7</v>
      </c>
      <c r="J276" s="113">
        <f t="shared" si="32"/>
        <v>0.29999999999999993</v>
      </c>
      <c r="K276" s="12" t="s">
        <v>212</v>
      </c>
      <c r="L276" s="12"/>
      <c r="M276" s="129">
        <v>0.29999999999999993</v>
      </c>
      <c r="N276" s="142">
        <f t="shared" si="34"/>
        <v>410.50240000000008</v>
      </c>
      <c r="O276" s="128">
        <f t="shared" si="35"/>
        <v>175.92959999999997</v>
      </c>
      <c r="P276" s="159">
        <f t="shared" si="36"/>
        <v>410.5</v>
      </c>
      <c r="Q276" s="160">
        <f t="shared" si="37"/>
        <v>175.9</v>
      </c>
    </row>
    <row r="277" spans="1:17" ht="46.5" thickTop="1" thickBot="1">
      <c r="A277" s="12" t="s">
        <v>218</v>
      </c>
      <c r="B277" s="166">
        <v>329.4</v>
      </c>
      <c r="C277" s="10" t="s">
        <v>74</v>
      </c>
      <c r="D277" s="10">
        <f>B277/30</f>
        <v>10.979999999999999</v>
      </c>
      <c r="E277" s="1">
        <v>0.7</v>
      </c>
      <c r="F277" s="95">
        <v>0.7</v>
      </c>
      <c r="G277" s="109">
        <f t="shared" si="31"/>
        <v>0.29999999999999993</v>
      </c>
      <c r="H277" s="109">
        <v>0.29999999999999993</v>
      </c>
      <c r="I277" s="109">
        <v>0.7</v>
      </c>
      <c r="J277" s="113">
        <f t="shared" si="32"/>
        <v>0.29999999999999993</v>
      </c>
      <c r="K277" s="12" t="s">
        <v>212</v>
      </c>
      <c r="L277" s="12"/>
      <c r="M277" s="129">
        <v>0.29999999999999993</v>
      </c>
      <c r="N277" s="142">
        <f t="shared" si="34"/>
        <v>284.07456000000002</v>
      </c>
      <c r="O277" s="128">
        <f t="shared" si="35"/>
        <v>121.74623999999997</v>
      </c>
      <c r="P277" s="159">
        <f t="shared" si="36"/>
        <v>284.10000000000002</v>
      </c>
      <c r="Q277" s="160">
        <f t="shared" si="37"/>
        <v>121.7</v>
      </c>
    </row>
    <row r="278" spans="1:17" ht="46.5" thickTop="1" thickBot="1">
      <c r="A278" s="12" t="s">
        <v>218</v>
      </c>
      <c r="B278" s="166">
        <v>485.1</v>
      </c>
      <c r="C278" s="10" t="s">
        <v>74</v>
      </c>
      <c r="D278" s="10">
        <f>B278/30</f>
        <v>16.170000000000002</v>
      </c>
      <c r="E278" s="1">
        <v>0.7</v>
      </c>
      <c r="F278" s="95">
        <v>0.7</v>
      </c>
      <c r="G278" s="109">
        <f t="shared" si="31"/>
        <v>0.29999999999999993</v>
      </c>
      <c r="H278" s="109">
        <v>0.29999999999999993</v>
      </c>
      <c r="I278" s="109">
        <v>0.7</v>
      </c>
      <c r="J278" s="113">
        <f t="shared" si="32"/>
        <v>0.29999999999999993</v>
      </c>
      <c r="K278" s="12" t="s">
        <v>212</v>
      </c>
      <c r="L278" s="12"/>
      <c r="M278" s="129">
        <v>0.29999999999999993</v>
      </c>
      <c r="N278" s="142">
        <f t="shared" si="34"/>
        <v>418.3502400000001</v>
      </c>
      <c r="O278" s="128">
        <f t="shared" si="35"/>
        <v>179.29295999999999</v>
      </c>
      <c r="P278" s="159">
        <f t="shared" si="36"/>
        <v>418.4</v>
      </c>
      <c r="Q278" s="160">
        <f t="shared" si="37"/>
        <v>179.3</v>
      </c>
    </row>
    <row r="279" spans="1:17" ht="46.5" thickTop="1" thickBot="1">
      <c r="A279" s="12" t="s">
        <v>218</v>
      </c>
      <c r="B279" s="166">
        <v>510</v>
      </c>
      <c r="C279" s="10" t="s">
        <v>74</v>
      </c>
      <c r="D279" s="10">
        <f>B279/30</f>
        <v>17</v>
      </c>
      <c r="E279" s="1">
        <v>0.7</v>
      </c>
      <c r="F279" s="95">
        <v>0.7</v>
      </c>
      <c r="G279" s="109">
        <f t="shared" si="31"/>
        <v>0.29999999999999993</v>
      </c>
      <c r="H279" s="109">
        <v>0.29999999999999993</v>
      </c>
      <c r="I279" s="109">
        <v>0.7</v>
      </c>
      <c r="J279" s="113">
        <f t="shared" si="32"/>
        <v>0.29999999999999993</v>
      </c>
      <c r="K279" s="12" t="s">
        <v>212</v>
      </c>
      <c r="L279" s="12"/>
      <c r="M279" s="129">
        <v>0.29999999999999993</v>
      </c>
      <c r="N279" s="142">
        <f t="shared" si="34"/>
        <v>439.82400000000007</v>
      </c>
      <c r="O279" s="128">
        <f t="shared" si="35"/>
        <v>188.49600000000001</v>
      </c>
      <c r="P279" s="159">
        <f t="shared" si="36"/>
        <v>439.8</v>
      </c>
      <c r="Q279" s="160">
        <f t="shared" si="37"/>
        <v>188.5</v>
      </c>
    </row>
    <row r="280" spans="1:17" ht="46.5" thickTop="1" thickBot="1">
      <c r="A280" s="12" t="s">
        <v>219</v>
      </c>
      <c r="B280" s="166">
        <v>452.8</v>
      </c>
      <c r="C280" s="10" t="s">
        <v>74</v>
      </c>
      <c r="D280" s="10">
        <f>B280/28</f>
        <v>16.171428571428571</v>
      </c>
      <c r="E280" s="1">
        <v>0.7</v>
      </c>
      <c r="F280" s="95">
        <v>0.7</v>
      </c>
      <c r="G280" s="109">
        <f t="shared" si="31"/>
        <v>0.29999999999999993</v>
      </c>
      <c r="H280" s="109">
        <v>0.29999999999999993</v>
      </c>
      <c r="I280" s="109">
        <v>0.7</v>
      </c>
      <c r="J280" s="113">
        <f t="shared" si="32"/>
        <v>0.29999999999999993</v>
      </c>
      <c r="K280" s="12" t="s">
        <v>212</v>
      </c>
      <c r="L280" s="12"/>
      <c r="M280" s="129">
        <v>0.29999999999999993</v>
      </c>
      <c r="N280" s="142">
        <f t="shared" si="34"/>
        <v>390.49472000000003</v>
      </c>
      <c r="O280" s="128">
        <f t="shared" si="35"/>
        <v>167.35488000000001</v>
      </c>
      <c r="P280" s="159">
        <f t="shared" si="36"/>
        <v>390.5</v>
      </c>
      <c r="Q280" s="160">
        <f t="shared" si="37"/>
        <v>167.4</v>
      </c>
    </row>
    <row r="281" spans="1:17" ht="46.5" thickTop="1" thickBot="1">
      <c r="A281" s="12" t="s">
        <v>220</v>
      </c>
      <c r="B281" s="166">
        <v>225.8</v>
      </c>
      <c r="C281" s="32" t="s">
        <v>210</v>
      </c>
      <c r="D281" s="10">
        <f>B281/28</f>
        <v>8.0642857142857149</v>
      </c>
      <c r="E281" s="11">
        <v>0.45</v>
      </c>
      <c r="F281" s="27">
        <v>0.45</v>
      </c>
      <c r="G281" s="109">
        <f t="shared" si="31"/>
        <v>0.1</v>
      </c>
      <c r="H281" s="109">
        <v>0.1</v>
      </c>
      <c r="I281" s="109">
        <v>0.45</v>
      </c>
      <c r="J281" s="113">
        <f t="shared" si="32"/>
        <v>0.1</v>
      </c>
      <c r="K281" s="12" t="s">
        <v>142</v>
      </c>
      <c r="L281" s="12"/>
      <c r="M281" s="129">
        <v>0.1</v>
      </c>
      <c r="N281" s="142">
        <f t="shared" si="34"/>
        <v>125.18352000000004</v>
      </c>
      <c r="O281" s="128">
        <f t="shared" si="35"/>
        <v>27.818560000000005</v>
      </c>
      <c r="P281" s="159">
        <f t="shared" si="36"/>
        <v>125.2</v>
      </c>
      <c r="Q281" s="160">
        <f t="shared" si="37"/>
        <v>27.8</v>
      </c>
    </row>
    <row r="282" spans="1:17" ht="46.5" thickTop="1" thickBot="1">
      <c r="A282" s="12" t="s">
        <v>220</v>
      </c>
      <c r="B282" s="166">
        <v>317</v>
      </c>
      <c r="C282" s="32" t="s">
        <v>210</v>
      </c>
      <c r="D282" s="10">
        <f>B282/28</f>
        <v>11.321428571428571</v>
      </c>
      <c r="E282" s="11">
        <v>0.45</v>
      </c>
      <c r="F282" s="27">
        <v>0.45</v>
      </c>
      <c r="G282" s="109">
        <f t="shared" si="31"/>
        <v>0.1</v>
      </c>
      <c r="H282" s="109">
        <v>0.1</v>
      </c>
      <c r="I282" s="109">
        <v>0.45</v>
      </c>
      <c r="J282" s="113">
        <f t="shared" si="32"/>
        <v>0.1</v>
      </c>
      <c r="K282" s="12" t="s">
        <v>142</v>
      </c>
      <c r="L282" s="12"/>
      <c r="M282" s="129">
        <v>0.1</v>
      </c>
      <c r="N282" s="142">
        <f t="shared" si="34"/>
        <v>175.74480000000005</v>
      </c>
      <c r="O282" s="128">
        <f t="shared" si="35"/>
        <v>39.054400000000008</v>
      </c>
      <c r="P282" s="159">
        <f t="shared" si="36"/>
        <v>175.7</v>
      </c>
      <c r="Q282" s="160">
        <f t="shared" si="37"/>
        <v>39.1</v>
      </c>
    </row>
    <row r="283" spans="1:17" ht="46.5" thickTop="1" thickBot="1">
      <c r="A283" s="12" t="s">
        <v>220</v>
      </c>
      <c r="B283" s="166">
        <v>343.6</v>
      </c>
      <c r="C283" s="32" t="s">
        <v>210</v>
      </c>
      <c r="D283" s="10">
        <f>B283/28</f>
        <v>12.271428571428572</v>
      </c>
      <c r="E283" s="11">
        <v>0.45</v>
      </c>
      <c r="F283" s="27">
        <v>0.45</v>
      </c>
      <c r="G283" s="109">
        <f t="shared" si="31"/>
        <v>0.1</v>
      </c>
      <c r="H283" s="109">
        <v>0.1</v>
      </c>
      <c r="I283" s="109">
        <v>0.45</v>
      </c>
      <c r="J283" s="113">
        <f t="shared" si="32"/>
        <v>0.1</v>
      </c>
      <c r="K283" s="12" t="s">
        <v>142</v>
      </c>
      <c r="L283" s="12"/>
      <c r="M283" s="129">
        <v>0.1</v>
      </c>
      <c r="N283" s="142">
        <f t="shared" si="34"/>
        <v>190.49184000000002</v>
      </c>
      <c r="O283" s="128">
        <f t="shared" si="35"/>
        <v>42.331520000000012</v>
      </c>
      <c r="P283" s="159">
        <f t="shared" si="36"/>
        <v>190.5</v>
      </c>
      <c r="Q283" s="160">
        <f t="shared" si="37"/>
        <v>42.3</v>
      </c>
    </row>
    <row r="284" spans="1:17" ht="57.75" thickTop="1" thickBot="1">
      <c r="A284" s="12" t="s">
        <v>221</v>
      </c>
      <c r="B284" s="166">
        <v>228.6</v>
      </c>
      <c r="C284" s="10" t="s">
        <v>22</v>
      </c>
      <c r="D284" s="10">
        <f>B284/30/20*30</f>
        <v>11.43</v>
      </c>
      <c r="E284" s="11">
        <v>0.8</v>
      </c>
      <c r="F284" s="27">
        <v>0.8</v>
      </c>
      <c r="G284" s="109">
        <f t="shared" si="31"/>
        <v>0.4</v>
      </c>
      <c r="H284" s="109">
        <v>0.4</v>
      </c>
      <c r="I284" s="109">
        <v>0.8</v>
      </c>
      <c r="J284" s="113">
        <f t="shared" si="32"/>
        <v>0.4</v>
      </c>
      <c r="K284" s="12" t="s">
        <v>222</v>
      </c>
      <c r="L284" s="12" t="s">
        <v>223</v>
      </c>
      <c r="M284" s="129">
        <v>0.4</v>
      </c>
      <c r="N284" s="142">
        <f t="shared" si="34"/>
        <v>225.30816000000002</v>
      </c>
      <c r="O284" s="128">
        <f t="shared" si="35"/>
        <v>112.65408000000001</v>
      </c>
      <c r="P284" s="159">
        <f t="shared" si="36"/>
        <v>225.3</v>
      </c>
      <c r="Q284" s="160">
        <f t="shared" si="37"/>
        <v>112.7</v>
      </c>
    </row>
    <row r="285" spans="1:17" ht="57.75" thickTop="1" thickBot="1">
      <c r="A285" s="12" t="s">
        <v>221</v>
      </c>
      <c r="B285" s="166">
        <v>130.9</v>
      </c>
      <c r="C285" s="10" t="s">
        <v>22</v>
      </c>
      <c r="D285" s="10">
        <f>B285/30/10*30</f>
        <v>13.09</v>
      </c>
      <c r="E285" s="11">
        <v>0.8</v>
      </c>
      <c r="F285" s="27">
        <v>0.8</v>
      </c>
      <c r="G285" s="109">
        <f t="shared" si="31"/>
        <v>0.4</v>
      </c>
      <c r="H285" s="109">
        <v>0.4</v>
      </c>
      <c r="I285" s="109">
        <v>0.8</v>
      </c>
      <c r="J285" s="113">
        <f t="shared" si="32"/>
        <v>0.4</v>
      </c>
      <c r="K285" s="12" t="s">
        <v>222</v>
      </c>
      <c r="L285" s="12" t="s">
        <v>223</v>
      </c>
      <c r="M285" s="129">
        <v>0.4</v>
      </c>
      <c r="N285" s="142">
        <f t="shared" si="34"/>
        <v>129.01504000000006</v>
      </c>
      <c r="O285" s="128">
        <f t="shared" si="35"/>
        <v>64.507520000000028</v>
      </c>
      <c r="P285" s="159">
        <f t="shared" si="36"/>
        <v>129</v>
      </c>
      <c r="Q285" s="160">
        <f t="shared" si="37"/>
        <v>64.5</v>
      </c>
    </row>
    <row r="286" spans="1:17" ht="57.75" thickTop="1" thickBot="1">
      <c r="A286" s="12" t="s">
        <v>224</v>
      </c>
      <c r="B286" s="166">
        <v>122.2</v>
      </c>
      <c r="C286" s="10" t="s">
        <v>22</v>
      </c>
      <c r="D286" s="10">
        <f>B286/28/10*30</f>
        <v>13.092857142857145</v>
      </c>
      <c r="E286" s="11">
        <v>0.8</v>
      </c>
      <c r="F286" s="27">
        <v>0.8</v>
      </c>
      <c r="G286" s="109">
        <f t="shared" si="31"/>
        <v>0.4</v>
      </c>
      <c r="H286" s="109">
        <v>0.4</v>
      </c>
      <c r="I286" s="109">
        <v>0.8</v>
      </c>
      <c r="J286" s="113">
        <f t="shared" si="32"/>
        <v>0.4</v>
      </c>
      <c r="K286" s="12" t="s">
        <v>222</v>
      </c>
      <c r="L286" s="12" t="s">
        <v>223</v>
      </c>
      <c r="M286" s="129">
        <v>0.4</v>
      </c>
      <c r="N286" s="142">
        <f t="shared" si="34"/>
        <v>120.44032000000003</v>
      </c>
      <c r="O286" s="128">
        <f t="shared" si="35"/>
        <v>60.220160000000014</v>
      </c>
      <c r="P286" s="159">
        <f t="shared" si="36"/>
        <v>120.4</v>
      </c>
      <c r="Q286" s="160">
        <f t="shared" si="37"/>
        <v>60.2</v>
      </c>
    </row>
    <row r="287" spans="1:17" ht="57.75" thickTop="1" thickBot="1">
      <c r="A287" s="12" t="s">
        <v>224</v>
      </c>
      <c r="B287" s="166">
        <v>213.4</v>
      </c>
      <c r="C287" s="10" t="s">
        <v>22</v>
      </c>
      <c r="D287" s="10">
        <f>B287/28/20*30</f>
        <v>11.432142857142859</v>
      </c>
      <c r="E287" s="11">
        <v>0.8</v>
      </c>
      <c r="F287" s="27">
        <v>0.8</v>
      </c>
      <c r="G287" s="109">
        <f t="shared" si="31"/>
        <v>0.4</v>
      </c>
      <c r="H287" s="109">
        <v>0.4</v>
      </c>
      <c r="I287" s="109">
        <v>0.8</v>
      </c>
      <c r="J287" s="113">
        <f t="shared" si="32"/>
        <v>0.4</v>
      </c>
      <c r="K287" s="12" t="s">
        <v>222</v>
      </c>
      <c r="L287" s="12" t="s">
        <v>223</v>
      </c>
      <c r="M287" s="129">
        <v>0.4</v>
      </c>
      <c r="N287" s="142">
        <f t="shared" si="34"/>
        <v>210.32704000000007</v>
      </c>
      <c r="O287" s="128">
        <f t="shared" si="35"/>
        <v>105.16352000000003</v>
      </c>
      <c r="P287" s="159">
        <f t="shared" si="36"/>
        <v>210.3</v>
      </c>
      <c r="Q287" s="160">
        <f t="shared" si="37"/>
        <v>105.2</v>
      </c>
    </row>
    <row r="288" spans="1:17" ht="57.75" thickTop="1" thickBot="1">
      <c r="A288" s="12" t="s">
        <v>224</v>
      </c>
      <c r="B288" s="166">
        <v>350</v>
      </c>
      <c r="C288" s="10" t="s">
        <v>22</v>
      </c>
      <c r="D288" s="10">
        <f>B288/28/40*30</f>
        <v>9.375</v>
      </c>
      <c r="E288" s="11">
        <v>0.8</v>
      </c>
      <c r="F288" s="27">
        <v>0.8</v>
      </c>
      <c r="G288" s="109">
        <f t="shared" si="31"/>
        <v>0.4</v>
      </c>
      <c r="H288" s="109">
        <v>0.4</v>
      </c>
      <c r="I288" s="109">
        <v>0.8</v>
      </c>
      <c r="J288" s="113">
        <f t="shared" si="32"/>
        <v>0.4</v>
      </c>
      <c r="K288" s="12" t="s">
        <v>222</v>
      </c>
      <c r="L288" s="12" t="s">
        <v>223</v>
      </c>
      <c r="M288" s="129">
        <v>0.4</v>
      </c>
      <c r="N288" s="142">
        <f t="shared" si="34"/>
        <v>344.96000000000004</v>
      </c>
      <c r="O288" s="128">
        <f t="shared" si="35"/>
        <v>172.48000000000002</v>
      </c>
      <c r="P288" s="159">
        <f t="shared" si="36"/>
        <v>345</v>
      </c>
      <c r="Q288" s="160">
        <f t="shared" si="37"/>
        <v>172.5</v>
      </c>
    </row>
    <row r="289" spans="1:17" ht="57.75" thickTop="1" thickBot="1">
      <c r="A289" s="12" t="s">
        <v>225</v>
      </c>
      <c r="B289" s="166">
        <v>130.9</v>
      </c>
      <c r="C289" s="10" t="s">
        <v>22</v>
      </c>
      <c r="D289" s="10">
        <f>B289/30/10*30</f>
        <v>13.09</v>
      </c>
      <c r="E289" s="11">
        <v>0.8</v>
      </c>
      <c r="F289" s="27">
        <v>0.8</v>
      </c>
      <c r="G289" s="109">
        <f t="shared" si="31"/>
        <v>0.4</v>
      </c>
      <c r="H289" s="109">
        <v>0.4</v>
      </c>
      <c r="I289" s="109">
        <v>0.8</v>
      </c>
      <c r="J289" s="113">
        <f t="shared" si="32"/>
        <v>0.4</v>
      </c>
      <c r="K289" s="12" t="s">
        <v>222</v>
      </c>
      <c r="L289" s="12" t="s">
        <v>223</v>
      </c>
      <c r="M289" s="129">
        <v>0.4</v>
      </c>
      <c r="N289" s="142">
        <f t="shared" si="34"/>
        <v>129.01504000000006</v>
      </c>
      <c r="O289" s="128">
        <f t="shared" si="35"/>
        <v>64.507520000000028</v>
      </c>
      <c r="P289" s="159">
        <f t="shared" si="36"/>
        <v>129</v>
      </c>
      <c r="Q289" s="160">
        <f t="shared" si="37"/>
        <v>64.5</v>
      </c>
    </row>
    <row r="290" spans="1:17" ht="57.75" thickTop="1" thickBot="1">
      <c r="A290" s="12" t="s">
        <v>225</v>
      </c>
      <c r="B290" s="166">
        <v>228.6</v>
      </c>
      <c r="C290" s="10" t="s">
        <v>22</v>
      </c>
      <c r="D290" s="10">
        <f>B290/30/20*30</f>
        <v>11.43</v>
      </c>
      <c r="E290" s="11">
        <v>0.8</v>
      </c>
      <c r="F290" s="27">
        <v>0.8</v>
      </c>
      <c r="G290" s="109">
        <f t="shared" si="31"/>
        <v>0.4</v>
      </c>
      <c r="H290" s="109">
        <v>0.4</v>
      </c>
      <c r="I290" s="109">
        <v>0.8</v>
      </c>
      <c r="J290" s="113">
        <f t="shared" si="32"/>
        <v>0.4</v>
      </c>
      <c r="K290" s="12" t="s">
        <v>222</v>
      </c>
      <c r="L290" s="12" t="s">
        <v>223</v>
      </c>
      <c r="M290" s="129">
        <v>0.4</v>
      </c>
      <c r="N290" s="142">
        <f t="shared" si="34"/>
        <v>225.30816000000002</v>
      </c>
      <c r="O290" s="128">
        <f t="shared" si="35"/>
        <v>112.65408000000001</v>
      </c>
      <c r="P290" s="159">
        <f t="shared" si="36"/>
        <v>225.3</v>
      </c>
      <c r="Q290" s="160">
        <f t="shared" si="37"/>
        <v>112.7</v>
      </c>
    </row>
    <row r="291" spans="1:17" ht="57.75" thickTop="1" thickBot="1">
      <c r="A291" s="12" t="s">
        <v>225</v>
      </c>
      <c r="B291" s="166">
        <v>375</v>
      </c>
      <c r="C291" s="10" t="s">
        <v>22</v>
      </c>
      <c r="D291" s="10">
        <f>B291/30/40*30</f>
        <v>9.375</v>
      </c>
      <c r="E291" s="11">
        <v>0.8</v>
      </c>
      <c r="F291" s="27">
        <v>0.8</v>
      </c>
      <c r="G291" s="109">
        <f t="shared" si="31"/>
        <v>0.4</v>
      </c>
      <c r="H291" s="109">
        <v>0.4</v>
      </c>
      <c r="I291" s="109">
        <v>0.8</v>
      </c>
      <c r="J291" s="113">
        <f t="shared" si="32"/>
        <v>0.4</v>
      </c>
      <c r="K291" s="12" t="s">
        <v>222</v>
      </c>
      <c r="L291" s="12" t="s">
        <v>223</v>
      </c>
      <c r="M291" s="129">
        <v>0.4</v>
      </c>
      <c r="N291" s="142">
        <f t="shared" si="34"/>
        <v>369.60000000000008</v>
      </c>
      <c r="O291" s="128">
        <f t="shared" si="35"/>
        <v>184.80000000000004</v>
      </c>
      <c r="P291" s="159">
        <f t="shared" si="36"/>
        <v>369.6</v>
      </c>
      <c r="Q291" s="160">
        <f t="shared" si="37"/>
        <v>184.8</v>
      </c>
    </row>
    <row r="292" spans="1:17" ht="57.75" thickTop="1" thickBot="1">
      <c r="A292" s="12" t="s">
        <v>226</v>
      </c>
      <c r="B292" s="166">
        <v>282.2</v>
      </c>
      <c r="C292" s="10" t="s">
        <v>22</v>
      </c>
      <c r="D292" s="10">
        <f>B292/30/20*30</f>
        <v>14.11</v>
      </c>
      <c r="E292" s="11">
        <v>0.75</v>
      </c>
      <c r="F292" s="27">
        <v>0.75</v>
      </c>
      <c r="G292" s="109">
        <f t="shared" si="31"/>
        <v>0.35</v>
      </c>
      <c r="H292" s="109">
        <v>0.35</v>
      </c>
      <c r="I292" s="109">
        <v>0.75</v>
      </c>
      <c r="J292" s="113">
        <f t="shared" si="32"/>
        <v>0.35</v>
      </c>
      <c r="K292" s="12" t="s">
        <v>227</v>
      </c>
      <c r="L292" s="12" t="s">
        <v>228</v>
      </c>
      <c r="M292" s="129">
        <v>0.35</v>
      </c>
      <c r="N292" s="142">
        <f t="shared" si="34"/>
        <v>260.75280000000004</v>
      </c>
      <c r="O292" s="128">
        <f t="shared" si="35"/>
        <v>121.68464000000003</v>
      </c>
      <c r="P292" s="159">
        <f t="shared" si="36"/>
        <v>260.8</v>
      </c>
      <c r="Q292" s="160">
        <f t="shared" si="37"/>
        <v>121.7</v>
      </c>
    </row>
    <row r="293" spans="1:17" ht="57.75" thickTop="1" thickBot="1">
      <c r="A293" s="12" t="s">
        <v>226</v>
      </c>
      <c r="B293" s="166">
        <v>393.7</v>
      </c>
      <c r="C293" s="10" t="s">
        <v>22</v>
      </c>
      <c r="D293" s="10">
        <f>B293/30/40*30</f>
        <v>9.8424999999999994</v>
      </c>
      <c r="E293" s="11">
        <v>0.75</v>
      </c>
      <c r="F293" s="27">
        <v>0.75</v>
      </c>
      <c r="G293" s="109">
        <f t="shared" si="31"/>
        <v>0.35</v>
      </c>
      <c r="H293" s="109">
        <v>0.35</v>
      </c>
      <c r="I293" s="109">
        <v>0.75</v>
      </c>
      <c r="J293" s="113">
        <f t="shared" si="32"/>
        <v>0.35</v>
      </c>
      <c r="K293" s="12" t="s">
        <v>227</v>
      </c>
      <c r="L293" s="12" t="s">
        <v>228</v>
      </c>
      <c r="M293" s="129">
        <v>0.35</v>
      </c>
      <c r="N293" s="142">
        <f t="shared" si="34"/>
        <v>363.77880000000005</v>
      </c>
      <c r="O293" s="128">
        <f t="shared" si="35"/>
        <v>169.76344</v>
      </c>
      <c r="P293" s="159">
        <f t="shared" si="36"/>
        <v>363.8</v>
      </c>
      <c r="Q293" s="160">
        <f t="shared" si="37"/>
        <v>169.8</v>
      </c>
    </row>
    <row r="294" spans="1:17" ht="57.75" thickTop="1" thickBot="1">
      <c r="A294" s="12" t="s">
        <v>229</v>
      </c>
      <c r="B294" s="166">
        <v>232.5</v>
      </c>
      <c r="C294" s="10" t="s">
        <v>7</v>
      </c>
      <c r="D294" s="10">
        <f>B294/30/10*20</f>
        <v>15.5</v>
      </c>
      <c r="E294" s="11">
        <v>0.85</v>
      </c>
      <c r="F294" s="27">
        <v>0.85</v>
      </c>
      <c r="G294" s="109">
        <f t="shared" si="31"/>
        <v>0.44999999999999996</v>
      </c>
      <c r="H294" s="109">
        <v>0.44999999999999996</v>
      </c>
      <c r="I294" s="109">
        <v>0.85</v>
      </c>
      <c r="J294" s="113">
        <f t="shared" si="32"/>
        <v>0.44999999999999996</v>
      </c>
      <c r="K294" s="12" t="s">
        <v>230</v>
      </c>
      <c r="L294" s="12" t="s">
        <v>231</v>
      </c>
      <c r="M294" s="129">
        <v>0.44999999999999996</v>
      </c>
      <c r="N294" s="142">
        <f t="shared" si="34"/>
        <v>243.47400000000005</v>
      </c>
      <c r="O294" s="128">
        <f t="shared" si="35"/>
        <v>128.898</v>
      </c>
      <c r="P294" s="159">
        <f t="shared" si="36"/>
        <v>243.5</v>
      </c>
      <c r="Q294" s="160">
        <f t="shared" si="37"/>
        <v>128.9</v>
      </c>
    </row>
    <row r="295" spans="1:17" ht="57.75" thickTop="1" thickBot="1">
      <c r="A295" s="12" t="s">
        <v>229</v>
      </c>
      <c r="B295" s="166">
        <v>315.2</v>
      </c>
      <c r="C295" s="10" t="s">
        <v>7</v>
      </c>
      <c r="D295" s="10">
        <f>B295/30/20*20</f>
        <v>10.506666666666666</v>
      </c>
      <c r="E295" s="11">
        <v>0.85</v>
      </c>
      <c r="F295" s="27">
        <v>0.85</v>
      </c>
      <c r="G295" s="109">
        <f t="shared" si="31"/>
        <v>0.44999999999999996</v>
      </c>
      <c r="H295" s="109">
        <v>0.44999999999999996</v>
      </c>
      <c r="I295" s="109">
        <v>0.85</v>
      </c>
      <c r="J295" s="113">
        <f t="shared" si="32"/>
        <v>0.44999999999999996</v>
      </c>
      <c r="K295" s="12" t="s">
        <v>230</v>
      </c>
      <c r="L295" s="12" t="s">
        <v>231</v>
      </c>
      <c r="M295" s="129">
        <v>0.44999999999999996</v>
      </c>
      <c r="N295" s="142">
        <f t="shared" si="34"/>
        <v>330.07744000000002</v>
      </c>
      <c r="O295" s="128">
        <f t="shared" si="35"/>
        <v>174.74688</v>
      </c>
      <c r="P295" s="159">
        <f t="shared" si="36"/>
        <v>330.1</v>
      </c>
      <c r="Q295" s="160">
        <f t="shared" si="37"/>
        <v>174.7</v>
      </c>
    </row>
    <row r="296" spans="1:17" ht="57.75" thickTop="1" thickBot="1">
      <c r="A296" s="12" t="s">
        <v>229</v>
      </c>
      <c r="B296" s="166">
        <v>403.1</v>
      </c>
      <c r="C296" s="10" t="s">
        <v>7</v>
      </c>
      <c r="D296" s="10">
        <f>B296/30/40*20</f>
        <v>6.7183333333333337</v>
      </c>
      <c r="E296" s="11">
        <v>0.85</v>
      </c>
      <c r="F296" s="27">
        <v>0.85</v>
      </c>
      <c r="G296" s="109">
        <f t="shared" si="31"/>
        <v>0.44999999999999996</v>
      </c>
      <c r="H296" s="109">
        <v>0.44999999999999996</v>
      </c>
      <c r="I296" s="109">
        <v>0.85</v>
      </c>
      <c r="J296" s="113">
        <f t="shared" si="32"/>
        <v>0.44999999999999996</v>
      </c>
      <c r="K296" s="12" t="s">
        <v>230</v>
      </c>
      <c r="L296" s="12" t="s">
        <v>231</v>
      </c>
      <c r="M296" s="129">
        <v>0.44999999999999996</v>
      </c>
      <c r="N296" s="142">
        <f t="shared" si="34"/>
        <v>422.12632000000008</v>
      </c>
      <c r="O296" s="128">
        <f t="shared" si="35"/>
        <v>223.47864000000001</v>
      </c>
      <c r="P296" s="159">
        <f t="shared" si="36"/>
        <v>422.1</v>
      </c>
      <c r="Q296" s="160">
        <f t="shared" si="37"/>
        <v>223.5</v>
      </c>
    </row>
    <row r="297" spans="1:17" ht="57.75" thickTop="1" thickBot="1">
      <c r="A297" s="12" t="s">
        <v>232</v>
      </c>
      <c r="B297" s="166">
        <v>232.5</v>
      </c>
      <c r="C297" s="10" t="s">
        <v>7</v>
      </c>
      <c r="D297" s="10">
        <f>B297/30/10*20</f>
        <v>15.5</v>
      </c>
      <c r="E297" s="11">
        <v>0.85</v>
      </c>
      <c r="F297" s="27">
        <v>0.85</v>
      </c>
      <c r="G297" s="109">
        <f t="shared" si="31"/>
        <v>0.44999999999999996</v>
      </c>
      <c r="H297" s="109">
        <v>0.44999999999999996</v>
      </c>
      <c r="I297" s="109">
        <v>0.85</v>
      </c>
      <c r="J297" s="113">
        <f t="shared" si="32"/>
        <v>0.44999999999999996</v>
      </c>
      <c r="K297" s="12" t="s">
        <v>230</v>
      </c>
      <c r="L297" s="12" t="s">
        <v>231</v>
      </c>
      <c r="M297" s="129">
        <v>0.44999999999999996</v>
      </c>
      <c r="N297" s="142">
        <f t="shared" si="34"/>
        <v>243.47400000000005</v>
      </c>
      <c r="O297" s="128">
        <f t="shared" si="35"/>
        <v>128.898</v>
      </c>
      <c r="P297" s="159">
        <f t="shared" si="36"/>
        <v>243.5</v>
      </c>
      <c r="Q297" s="160">
        <f t="shared" si="37"/>
        <v>128.9</v>
      </c>
    </row>
    <row r="298" spans="1:17" ht="57.75" thickTop="1" thickBot="1">
      <c r="A298" s="12" t="s">
        <v>232</v>
      </c>
      <c r="B298" s="166">
        <v>315.2</v>
      </c>
      <c r="C298" s="10" t="s">
        <v>7</v>
      </c>
      <c r="D298" s="10">
        <f>B298/30/20*20</f>
        <v>10.506666666666666</v>
      </c>
      <c r="E298" s="11">
        <v>0.85</v>
      </c>
      <c r="F298" s="27">
        <v>0.85</v>
      </c>
      <c r="G298" s="109">
        <f t="shared" si="31"/>
        <v>0.44999999999999996</v>
      </c>
      <c r="H298" s="109">
        <v>0.44999999999999996</v>
      </c>
      <c r="I298" s="109">
        <v>0.85</v>
      </c>
      <c r="J298" s="113">
        <f t="shared" si="32"/>
        <v>0.44999999999999996</v>
      </c>
      <c r="K298" s="12" t="s">
        <v>230</v>
      </c>
      <c r="L298" s="12" t="s">
        <v>231</v>
      </c>
      <c r="M298" s="129">
        <v>0.44999999999999996</v>
      </c>
      <c r="N298" s="142">
        <f t="shared" si="34"/>
        <v>330.07744000000002</v>
      </c>
      <c r="O298" s="128">
        <f t="shared" si="35"/>
        <v>174.74688</v>
      </c>
      <c r="P298" s="159">
        <f t="shared" si="36"/>
        <v>330.1</v>
      </c>
      <c r="Q298" s="160">
        <f t="shared" si="37"/>
        <v>174.7</v>
      </c>
    </row>
    <row r="299" spans="1:17" ht="57.75" thickTop="1" thickBot="1">
      <c r="A299" s="12" t="s">
        <v>232</v>
      </c>
      <c r="B299" s="166">
        <v>403.1</v>
      </c>
      <c r="C299" s="10" t="s">
        <v>7</v>
      </c>
      <c r="D299" s="10">
        <f>B299/30/40*20</f>
        <v>6.7183333333333337</v>
      </c>
      <c r="E299" s="11">
        <v>0.85</v>
      </c>
      <c r="F299" s="27">
        <v>0.85</v>
      </c>
      <c r="G299" s="109">
        <f t="shared" si="31"/>
        <v>0.44999999999999996</v>
      </c>
      <c r="H299" s="109">
        <v>0.44999999999999996</v>
      </c>
      <c r="I299" s="109">
        <v>0.85</v>
      </c>
      <c r="J299" s="113">
        <f t="shared" si="32"/>
        <v>0.44999999999999996</v>
      </c>
      <c r="K299" s="12" t="s">
        <v>230</v>
      </c>
      <c r="L299" s="12" t="s">
        <v>231</v>
      </c>
      <c r="M299" s="129">
        <v>0.44999999999999996</v>
      </c>
      <c r="N299" s="142">
        <f t="shared" si="34"/>
        <v>422.12632000000008</v>
      </c>
      <c r="O299" s="128">
        <f t="shared" si="35"/>
        <v>223.47864000000001</v>
      </c>
      <c r="P299" s="159">
        <f t="shared" si="36"/>
        <v>422.1</v>
      </c>
      <c r="Q299" s="160">
        <f t="shared" si="37"/>
        <v>223.5</v>
      </c>
    </row>
    <row r="300" spans="1:17" ht="57.75" thickTop="1" thickBot="1">
      <c r="A300" s="12" t="s">
        <v>233</v>
      </c>
      <c r="B300" s="166">
        <v>232.5</v>
      </c>
      <c r="C300" s="10" t="s">
        <v>7</v>
      </c>
      <c r="D300" s="10">
        <f>B300/30/10*20</f>
        <v>15.5</v>
      </c>
      <c r="E300" s="11">
        <v>0.85</v>
      </c>
      <c r="F300" s="27">
        <v>0.85</v>
      </c>
      <c r="G300" s="109">
        <f t="shared" si="31"/>
        <v>0.44999999999999996</v>
      </c>
      <c r="H300" s="109">
        <v>0.44999999999999996</v>
      </c>
      <c r="I300" s="109">
        <v>0.85</v>
      </c>
      <c r="J300" s="113">
        <f t="shared" si="32"/>
        <v>0.44999999999999996</v>
      </c>
      <c r="K300" s="12" t="s">
        <v>230</v>
      </c>
      <c r="L300" s="12" t="s">
        <v>231</v>
      </c>
      <c r="M300" s="129">
        <v>0.44999999999999996</v>
      </c>
      <c r="N300" s="142">
        <f t="shared" si="34"/>
        <v>243.47400000000005</v>
      </c>
      <c r="O300" s="128">
        <f t="shared" si="35"/>
        <v>128.898</v>
      </c>
      <c r="P300" s="159">
        <f t="shared" si="36"/>
        <v>243.5</v>
      </c>
      <c r="Q300" s="160">
        <f t="shared" si="37"/>
        <v>128.9</v>
      </c>
    </row>
    <row r="301" spans="1:17" ht="57.75" thickTop="1" thickBot="1">
      <c r="A301" s="12" t="s">
        <v>233</v>
      </c>
      <c r="B301" s="166">
        <v>315.2</v>
      </c>
      <c r="C301" s="10" t="s">
        <v>7</v>
      </c>
      <c r="D301" s="10">
        <f>B301/30/20*20</f>
        <v>10.506666666666666</v>
      </c>
      <c r="E301" s="11">
        <v>0.85</v>
      </c>
      <c r="F301" s="27">
        <v>0.85</v>
      </c>
      <c r="G301" s="109">
        <f t="shared" si="31"/>
        <v>0.44999999999999996</v>
      </c>
      <c r="H301" s="109">
        <v>0.44999999999999996</v>
      </c>
      <c r="I301" s="109">
        <v>0.85</v>
      </c>
      <c r="J301" s="113">
        <f t="shared" si="32"/>
        <v>0.44999999999999996</v>
      </c>
      <c r="K301" s="12" t="s">
        <v>230</v>
      </c>
      <c r="L301" s="12" t="s">
        <v>231</v>
      </c>
      <c r="M301" s="129">
        <v>0.44999999999999996</v>
      </c>
      <c r="N301" s="142">
        <f t="shared" si="34"/>
        <v>330.07744000000002</v>
      </c>
      <c r="O301" s="128">
        <f t="shared" si="35"/>
        <v>174.74688</v>
      </c>
      <c r="P301" s="159">
        <f t="shared" si="36"/>
        <v>330.1</v>
      </c>
      <c r="Q301" s="160">
        <f t="shared" si="37"/>
        <v>174.7</v>
      </c>
    </row>
    <row r="302" spans="1:17" ht="57.75" thickTop="1" thickBot="1">
      <c r="A302" s="12" t="s">
        <v>234</v>
      </c>
      <c r="B302" s="166">
        <v>232.5</v>
      </c>
      <c r="C302" s="10" t="s">
        <v>7</v>
      </c>
      <c r="D302" s="10">
        <f>B302/30/10*20</f>
        <v>15.5</v>
      </c>
      <c r="E302" s="11">
        <v>0.85</v>
      </c>
      <c r="F302" s="27">
        <v>0.85</v>
      </c>
      <c r="G302" s="109">
        <f t="shared" si="31"/>
        <v>0.44999999999999996</v>
      </c>
      <c r="H302" s="109">
        <v>0.44999999999999996</v>
      </c>
      <c r="I302" s="109">
        <v>0.85</v>
      </c>
      <c r="J302" s="113">
        <f t="shared" si="32"/>
        <v>0.44999999999999996</v>
      </c>
      <c r="K302" s="12" t="s">
        <v>230</v>
      </c>
      <c r="L302" s="12" t="s">
        <v>231</v>
      </c>
      <c r="M302" s="129">
        <v>0.44999999999999996</v>
      </c>
      <c r="N302" s="142">
        <f t="shared" si="34"/>
        <v>243.47400000000005</v>
      </c>
      <c r="O302" s="128">
        <f t="shared" si="35"/>
        <v>128.898</v>
      </c>
      <c r="P302" s="159">
        <f t="shared" si="36"/>
        <v>243.5</v>
      </c>
      <c r="Q302" s="160">
        <f t="shared" si="37"/>
        <v>128.9</v>
      </c>
    </row>
    <row r="303" spans="1:17" ht="57.75" thickTop="1" thickBot="1">
      <c r="A303" s="12" t="s">
        <v>234</v>
      </c>
      <c r="B303" s="166">
        <v>315.2</v>
      </c>
      <c r="C303" s="10" t="s">
        <v>7</v>
      </c>
      <c r="D303" s="10">
        <f>B303/30/20*20</f>
        <v>10.506666666666666</v>
      </c>
      <c r="E303" s="11">
        <v>0.85</v>
      </c>
      <c r="F303" s="27">
        <v>0.85</v>
      </c>
      <c r="G303" s="109">
        <f t="shared" si="31"/>
        <v>0.44999999999999996</v>
      </c>
      <c r="H303" s="109">
        <v>0.44999999999999996</v>
      </c>
      <c r="I303" s="109">
        <v>0.85</v>
      </c>
      <c r="J303" s="113">
        <f t="shared" si="32"/>
        <v>0.44999999999999996</v>
      </c>
      <c r="K303" s="12" t="s">
        <v>230</v>
      </c>
      <c r="L303" s="12" t="s">
        <v>231</v>
      </c>
      <c r="M303" s="129">
        <v>0.44999999999999996</v>
      </c>
      <c r="N303" s="142">
        <f t="shared" si="34"/>
        <v>330.07744000000002</v>
      </c>
      <c r="O303" s="128">
        <f t="shared" si="35"/>
        <v>174.74688</v>
      </c>
      <c r="P303" s="159">
        <f t="shared" si="36"/>
        <v>330.1</v>
      </c>
      <c r="Q303" s="160">
        <f t="shared" si="37"/>
        <v>174.7</v>
      </c>
    </row>
    <row r="304" spans="1:17" ht="57.75" thickTop="1" thickBot="1">
      <c r="A304" s="53" t="s">
        <v>235</v>
      </c>
      <c r="B304" s="166">
        <v>232.5</v>
      </c>
      <c r="C304" s="21" t="s">
        <v>236</v>
      </c>
      <c r="D304" s="29">
        <f>B304/30/10*20</f>
        <v>15.5</v>
      </c>
      <c r="E304" s="11">
        <v>0.85</v>
      </c>
      <c r="F304" s="27">
        <v>0.85</v>
      </c>
      <c r="G304" s="109">
        <f t="shared" si="31"/>
        <v>0.44999999999999996</v>
      </c>
      <c r="H304" s="109">
        <v>0.44999999999999996</v>
      </c>
      <c r="I304" s="109">
        <v>0.85</v>
      </c>
      <c r="J304" s="113">
        <f t="shared" si="32"/>
        <v>0.44999999999999996</v>
      </c>
      <c r="K304" s="12" t="s">
        <v>230</v>
      </c>
      <c r="L304" s="12" t="s">
        <v>231</v>
      </c>
      <c r="M304" s="129">
        <v>0.44999999999999996</v>
      </c>
      <c r="N304" s="142">
        <f t="shared" si="34"/>
        <v>243.47400000000005</v>
      </c>
      <c r="O304" s="128">
        <f t="shared" si="35"/>
        <v>128.898</v>
      </c>
      <c r="P304" s="159">
        <f t="shared" si="36"/>
        <v>243.5</v>
      </c>
      <c r="Q304" s="160">
        <f t="shared" si="37"/>
        <v>128.9</v>
      </c>
    </row>
    <row r="305" spans="1:17" ht="57.75" thickTop="1" thickBot="1">
      <c r="A305" s="53" t="s">
        <v>235</v>
      </c>
      <c r="B305" s="166">
        <v>315.2</v>
      </c>
      <c r="C305" s="21" t="s">
        <v>236</v>
      </c>
      <c r="D305" s="29">
        <f>B305/30/20*20</f>
        <v>10.506666666666666</v>
      </c>
      <c r="E305" s="11">
        <v>0.85</v>
      </c>
      <c r="F305" s="27">
        <v>0.85</v>
      </c>
      <c r="G305" s="109">
        <f t="shared" si="31"/>
        <v>0.44999999999999996</v>
      </c>
      <c r="H305" s="109">
        <v>0.44999999999999996</v>
      </c>
      <c r="I305" s="109">
        <v>0.85</v>
      </c>
      <c r="J305" s="113">
        <f t="shared" si="32"/>
        <v>0.44999999999999996</v>
      </c>
      <c r="K305" s="12" t="s">
        <v>230</v>
      </c>
      <c r="L305" s="12" t="s">
        <v>231</v>
      </c>
      <c r="M305" s="129">
        <v>0.44999999999999996</v>
      </c>
      <c r="N305" s="142">
        <f t="shared" si="34"/>
        <v>330.07744000000002</v>
      </c>
      <c r="O305" s="128">
        <f t="shared" si="35"/>
        <v>174.74688</v>
      </c>
      <c r="P305" s="159">
        <f t="shared" si="36"/>
        <v>330.1</v>
      </c>
      <c r="Q305" s="160">
        <f t="shared" si="37"/>
        <v>174.7</v>
      </c>
    </row>
    <row r="306" spans="1:17" ht="57.75" thickTop="1" thickBot="1">
      <c r="A306" s="53" t="s">
        <v>235</v>
      </c>
      <c r="B306" s="166">
        <v>403.1</v>
      </c>
      <c r="C306" s="21" t="s">
        <v>236</v>
      </c>
      <c r="D306" s="29">
        <f>B306/30/40*20</f>
        <v>6.7183333333333337</v>
      </c>
      <c r="E306" s="11">
        <v>0.85</v>
      </c>
      <c r="F306" s="27">
        <v>0.85</v>
      </c>
      <c r="G306" s="109">
        <f t="shared" si="31"/>
        <v>0.44999999999999996</v>
      </c>
      <c r="H306" s="109">
        <v>0.44999999999999996</v>
      </c>
      <c r="I306" s="109">
        <v>0.85</v>
      </c>
      <c r="J306" s="113">
        <f t="shared" si="32"/>
        <v>0.44999999999999996</v>
      </c>
      <c r="K306" s="12" t="s">
        <v>230</v>
      </c>
      <c r="L306" s="12" t="s">
        <v>231</v>
      </c>
      <c r="M306" s="129">
        <v>0.44999999999999996</v>
      </c>
      <c r="N306" s="142">
        <f t="shared" si="34"/>
        <v>422.12632000000008</v>
      </c>
      <c r="O306" s="128">
        <f t="shared" si="35"/>
        <v>223.47864000000001</v>
      </c>
      <c r="P306" s="159">
        <f t="shared" si="36"/>
        <v>422.1</v>
      </c>
      <c r="Q306" s="160">
        <f t="shared" si="37"/>
        <v>223.5</v>
      </c>
    </row>
    <row r="307" spans="1:17" ht="57.75" thickTop="1" thickBot="1">
      <c r="A307" s="12" t="s">
        <v>237</v>
      </c>
      <c r="B307" s="166">
        <v>232.5</v>
      </c>
      <c r="C307" s="10" t="s">
        <v>7</v>
      </c>
      <c r="D307" s="29">
        <f>B307/30/10*20</f>
        <v>15.5</v>
      </c>
      <c r="E307" s="1">
        <v>0.85</v>
      </c>
      <c r="F307" s="95">
        <v>0.85</v>
      </c>
      <c r="G307" s="109">
        <f t="shared" si="31"/>
        <v>0.44999999999999996</v>
      </c>
      <c r="H307" s="109">
        <v>0.44999999999999996</v>
      </c>
      <c r="I307" s="109">
        <v>0.85</v>
      </c>
      <c r="J307" s="113">
        <f t="shared" si="32"/>
        <v>0.44999999999999996</v>
      </c>
      <c r="K307" s="12" t="s">
        <v>230</v>
      </c>
      <c r="L307" s="12" t="s">
        <v>231</v>
      </c>
      <c r="M307" s="129">
        <v>0.44999999999999996</v>
      </c>
      <c r="N307" s="142">
        <f t="shared" si="34"/>
        <v>243.47400000000005</v>
      </c>
      <c r="O307" s="128">
        <f t="shared" si="35"/>
        <v>128.898</v>
      </c>
      <c r="P307" s="159">
        <f t="shared" si="36"/>
        <v>243.5</v>
      </c>
      <c r="Q307" s="160">
        <f t="shared" si="37"/>
        <v>128.9</v>
      </c>
    </row>
    <row r="308" spans="1:17" ht="57.75" thickTop="1" thickBot="1">
      <c r="A308" s="12" t="s">
        <v>237</v>
      </c>
      <c r="B308" s="166">
        <v>315.2</v>
      </c>
      <c r="C308" s="10" t="s">
        <v>7</v>
      </c>
      <c r="D308" s="29">
        <f>B308/30/20*20</f>
        <v>10.506666666666666</v>
      </c>
      <c r="E308" s="1">
        <v>0.85</v>
      </c>
      <c r="F308" s="95">
        <v>0.85</v>
      </c>
      <c r="G308" s="109">
        <f t="shared" si="31"/>
        <v>0.44999999999999996</v>
      </c>
      <c r="H308" s="109">
        <v>0.44999999999999996</v>
      </c>
      <c r="I308" s="109">
        <v>0.85</v>
      </c>
      <c r="J308" s="113">
        <f t="shared" si="32"/>
        <v>0.44999999999999996</v>
      </c>
      <c r="K308" s="12" t="s">
        <v>230</v>
      </c>
      <c r="L308" s="12" t="s">
        <v>231</v>
      </c>
      <c r="M308" s="129">
        <v>0.44999999999999996</v>
      </c>
      <c r="N308" s="142">
        <f t="shared" si="34"/>
        <v>330.07744000000002</v>
      </c>
      <c r="O308" s="128">
        <f t="shared" si="35"/>
        <v>174.74688</v>
      </c>
      <c r="P308" s="159">
        <f t="shared" si="36"/>
        <v>330.1</v>
      </c>
      <c r="Q308" s="160">
        <f t="shared" si="37"/>
        <v>174.7</v>
      </c>
    </row>
    <row r="309" spans="1:17" ht="57.75" thickTop="1" thickBot="1">
      <c r="A309" s="12" t="s">
        <v>237</v>
      </c>
      <c r="B309" s="166">
        <v>403.1</v>
      </c>
      <c r="C309" s="10" t="s">
        <v>7</v>
      </c>
      <c r="D309" s="29">
        <f>B309/30/40*20</f>
        <v>6.7183333333333337</v>
      </c>
      <c r="E309" s="1">
        <v>0.85</v>
      </c>
      <c r="F309" s="95">
        <v>0.85</v>
      </c>
      <c r="G309" s="109">
        <f t="shared" si="31"/>
        <v>0.44999999999999996</v>
      </c>
      <c r="H309" s="109">
        <v>0.44999999999999996</v>
      </c>
      <c r="I309" s="109">
        <v>0.85</v>
      </c>
      <c r="J309" s="113">
        <f t="shared" si="32"/>
        <v>0.44999999999999996</v>
      </c>
      <c r="K309" s="12" t="s">
        <v>230</v>
      </c>
      <c r="L309" s="12" t="s">
        <v>231</v>
      </c>
      <c r="M309" s="129">
        <v>0.44999999999999996</v>
      </c>
      <c r="N309" s="142">
        <f t="shared" si="34"/>
        <v>422.12632000000008</v>
      </c>
      <c r="O309" s="128">
        <f t="shared" si="35"/>
        <v>223.47864000000001</v>
      </c>
      <c r="P309" s="159">
        <f t="shared" si="36"/>
        <v>422.1</v>
      </c>
      <c r="Q309" s="160">
        <f t="shared" si="37"/>
        <v>223.5</v>
      </c>
    </row>
    <row r="310" spans="1:17" ht="57.75" thickTop="1" thickBot="1">
      <c r="A310" s="12" t="s">
        <v>238</v>
      </c>
      <c r="B310" s="167">
        <v>175.2</v>
      </c>
      <c r="C310" s="9" t="s">
        <v>92</v>
      </c>
      <c r="D310" s="10">
        <f>B310/28/5*10</f>
        <v>12.514285714285712</v>
      </c>
      <c r="E310" s="1">
        <v>0.85</v>
      </c>
      <c r="F310" s="95">
        <v>0.85</v>
      </c>
      <c r="G310" s="109">
        <f t="shared" si="31"/>
        <v>0.44999999999999996</v>
      </c>
      <c r="H310" s="109">
        <v>0.44999999999999996</v>
      </c>
      <c r="I310" s="109">
        <v>0.85</v>
      </c>
      <c r="J310" s="113">
        <f t="shared" si="32"/>
        <v>0.44999999999999996</v>
      </c>
      <c r="K310" s="12" t="s">
        <v>239</v>
      </c>
      <c r="L310" s="12" t="s">
        <v>240</v>
      </c>
      <c r="M310" s="129">
        <v>0.44999999999999996</v>
      </c>
      <c r="N310" s="142">
        <f t="shared" si="34"/>
        <v>183.46944000000002</v>
      </c>
      <c r="O310" s="128">
        <f t="shared" si="35"/>
        <v>97.130880000000005</v>
      </c>
      <c r="P310" s="159">
        <f t="shared" si="36"/>
        <v>183.5</v>
      </c>
      <c r="Q310" s="160">
        <f t="shared" si="37"/>
        <v>97.1</v>
      </c>
    </row>
    <row r="311" spans="1:17" ht="57.75" thickTop="1" thickBot="1">
      <c r="A311" s="12" t="s">
        <v>238</v>
      </c>
      <c r="B311" s="166">
        <v>356.2</v>
      </c>
      <c r="C311" s="9" t="s">
        <v>92</v>
      </c>
      <c r="D311" s="10">
        <f>B311/28/10*10</f>
        <v>12.721428571428572</v>
      </c>
      <c r="E311" s="1">
        <v>0.85</v>
      </c>
      <c r="F311" s="95">
        <v>0.85</v>
      </c>
      <c r="G311" s="109">
        <f t="shared" si="31"/>
        <v>0.44999999999999996</v>
      </c>
      <c r="H311" s="109">
        <v>0.44999999999999996</v>
      </c>
      <c r="I311" s="109">
        <v>0.85</v>
      </c>
      <c r="J311" s="113">
        <f t="shared" si="32"/>
        <v>0.44999999999999996</v>
      </c>
      <c r="K311" s="12" t="s">
        <v>239</v>
      </c>
      <c r="L311" s="12" t="s">
        <v>240</v>
      </c>
      <c r="M311" s="129">
        <v>0.44999999999999996</v>
      </c>
      <c r="N311" s="142">
        <f t="shared" si="34"/>
        <v>373.01264000000003</v>
      </c>
      <c r="O311" s="128">
        <f t="shared" si="35"/>
        <v>197.47728000000001</v>
      </c>
      <c r="P311" s="159">
        <f t="shared" si="36"/>
        <v>373</v>
      </c>
      <c r="Q311" s="160">
        <f t="shared" si="37"/>
        <v>197.5</v>
      </c>
    </row>
    <row r="312" spans="1:17" ht="57.75" thickTop="1" thickBot="1">
      <c r="A312" s="12" t="s">
        <v>238</v>
      </c>
      <c r="B312" s="166">
        <v>391.3</v>
      </c>
      <c r="C312" s="9" t="s">
        <v>92</v>
      </c>
      <c r="D312" s="10">
        <f>B312/28/20*10</f>
        <v>6.9874999999999998</v>
      </c>
      <c r="E312" s="1">
        <v>0.85</v>
      </c>
      <c r="F312" s="95">
        <v>0.85</v>
      </c>
      <c r="G312" s="109">
        <f t="shared" si="31"/>
        <v>0.44999999999999996</v>
      </c>
      <c r="H312" s="109">
        <v>0.44999999999999996</v>
      </c>
      <c r="I312" s="109">
        <v>0.85</v>
      </c>
      <c r="J312" s="113">
        <f t="shared" si="32"/>
        <v>0.44999999999999996</v>
      </c>
      <c r="K312" s="12" t="s">
        <v>239</v>
      </c>
      <c r="L312" s="12" t="s">
        <v>240</v>
      </c>
      <c r="M312" s="129">
        <v>0.44999999999999996</v>
      </c>
      <c r="N312" s="142">
        <f t="shared" si="34"/>
        <v>409.76936000000012</v>
      </c>
      <c r="O312" s="128">
        <f t="shared" si="35"/>
        <v>216.93672000000004</v>
      </c>
      <c r="P312" s="159">
        <f t="shared" si="36"/>
        <v>409.8</v>
      </c>
      <c r="Q312" s="160">
        <f t="shared" si="37"/>
        <v>216.9</v>
      </c>
    </row>
    <row r="313" spans="1:17" ht="57.75" thickTop="1" thickBot="1">
      <c r="A313" s="12" t="s">
        <v>238</v>
      </c>
      <c r="B313" s="166">
        <v>461.5</v>
      </c>
      <c r="C313" s="9" t="s">
        <v>92</v>
      </c>
      <c r="D313" s="29">
        <f>B313/28/40*10</f>
        <v>4.1205357142857144</v>
      </c>
      <c r="E313" s="1">
        <v>0.85</v>
      </c>
      <c r="F313" s="95">
        <v>0.85</v>
      </c>
      <c r="G313" s="109">
        <f t="shared" si="31"/>
        <v>0.44999999999999996</v>
      </c>
      <c r="H313" s="109">
        <v>0.44999999999999996</v>
      </c>
      <c r="I313" s="109">
        <v>0.85</v>
      </c>
      <c r="J313" s="113">
        <f t="shared" si="32"/>
        <v>0.44999999999999996</v>
      </c>
      <c r="K313" s="12" t="s">
        <v>239</v>
      </c>
      <c r="L313" s="12" t="s">
        <v>240</v>
      </c>
      <c r="M313" s="129">
        <v>0.44999999999999996</v>
      </c>
      <c r="N313" s="142">
        <f t="shared" si="34"/>
        <v>483.28280000000007</v>
      </c>
      <c r="O313" s="128">
        <f t="shared" si="35"/>
        <v>255.85560000000004</v>
      </c>
      <c r="P313" s="159">
        <f t="shared" si="36"/>
        <v>483.3</v>
      </c>
      <c r="Q313" s="160">
        <f t="shared" si="37"/>
        <v>255.9</v>
      </c>
    </row>
    <row r="314" spans="1:17" ht="57.75" thickTop="1" thickBot="1">
      <c r="A314" s="12" t="s">
        <v>241</v>
      </c>
      <c r="B314" s="166">
        <v>381.6</v>
      </c>
      <c r="C314" s="9" t="s">
        <v>92</v>
      </c>
      <c r="D314" s="10">
        <f>B314/30/10*10</f>
        <v>12.72</v>
      </c>
      <c r="E314" s="1">
        <v>0.85</v>
      </c>
      <c r="F314" s="95">
        <v>0.85</v>
      </c>
      <c r="G314" s="109">
        <f t="shared" si="31"/>
        <v>0.44999999999999996</v>
      </c>
      <c r="H314" s="109">
        <v>0.44999999999999996</v>
      </c>
      <c r="I314" s="109">
        <v>0.85</v>
      </c>
      <c r="J314" s="113">
        <f t="shared" si="32"/>
        <v>0.44999999999999996</v>
      </c>
      <c r="K314" s="12" t="s">
        <v>239</v>
      </c>
      <c r="L314" s="12" t="s">
        <v>240</v>
      </c>
      <c r="M314" s="129">
        <v>0.44999999999999996</v>
      </c>
      <c r="N314" s="142">
        <f t="shared" si="34"/>
        <v>399.61152000000004</v>
      </c>
      <c r="O314" s="128">
        <f t="shared" si="35"/>
        <v>211.55904000000004</v>
      </c>
      <c r="P314" s="159">
        <f t="shared" si="36"/>
        <v>399.6</v>
      </c>
      <c r="Q314" s="160">
        <f t="shared" si="37"/>
        <v>211.6</v>
      </c>
    </row>
    <row r="315" spans="1:17" ht="57.75" thickTop="1" thickBot="1">
      <c r="A315" s="12" t="s">
        <v>241</v>
      </c>
      <c r="B315" s="166">
        <v>419.3</v>
      </c>
      <c r="C315" s="9" t="s">
        <v>92</v>
      </c>
      <c r="D315" s="10">
        <f>B315/30/20*10</f>
        <v>6.9883333333333333</v>
      </c>
      <c r="E315" s="1">
        <v>0.85</v>
      </c>
      <c r="F315" s="95">
        <v>0.85</v>
      </c>
      <c r="G315" s="109">
        <f t="shared" si="31"/>
        <v>0.44999999999999996</v>
      </c>
      <c r="H315" s="109">
        <v>0.44999999999999996</v>
      </c>
      <c r="I315" s="109">
        <v>0.85</v>
      </c>
      <c r="J315" s="113">
        <f t="shared" si="32"/>
        <v>0.44999999999999996</v>
      </c>
      <c r="K315" s="12" t="s">
        <v>239</v>
      </c>
      <c r="L315" s="12" t="s">
        <v>240</v>
      </c>
      <c r="M315" s="129">
        <v>0.44999999999999996</v>
      </c>
      <c r="N315" s="142">
        <f t="shared" si="34"/>
        <v>439.09096000000005</v>
      </c>
      <c r="O315" s="128">
        <f t="shared" si="35"/>
        <v>232.45992000000001</v>
      </c>
      <c r="P315" s="159">
        <f t="shared" si="36"/>
        <v>439.1</v>
      </c>
      <c r="Q315" s="160">
        <f t="shared" si="37"/>
        <v>232.5</v>
      </c>
    </row>
    <row r="316" spans="1:17" ht="57.75" thickTop="1" thickBot="1">
      <c r="A316" s="12" t="s">
        <v>242</v>
      </c>
      <c r="B316" s="167">
        <v>175.2</v>
      </c>
      <c r="C316" s="9" t="s">
        <v>92</v>
      </c>
      <c r="D316" s="10">
        <f>B316/28/5*10</f>
        <v>12.514285714285712</v>
      </c>
      <c r="E316" s="1">
        <v>0.85</v>
      </c>
      <c r="F316" s="95">
        <v>0.85</v>
      </c>
      <c r="G316" s="109">
        <f t="shared" si="31"/>
        <v>0.44999999999999996</v>
      </c>
      <c r="H316" s="109">
        <v>0.44999999999999996</v>
      </c>
      <c r="I316" s="109">
        <v>0.85</v>
      </c>
      <c r="J316" s="113">
        <f t="shared" si="32"/>
        <v>0.44999999999999996</v>
      </c>
      <c r="K316" s="12" t="s">
        <v>239</v>
      </c>
      <c r="L316" s="12" t="s">
        <v>240</v>
      </c>
      <c r="M316" s="129">
        <v>0.44999999999999996</v>
      </c>
      <c r="N316" s="142">
        <f t="shared" si="34"/>
        <v>183.46944000000002</v>
      </c>
      <c r="O316" s="128">
        <f t="shared" si="35"/>
        <v>97.130880000000005</v>
      </c>
      <c r="P316" s="159">
        <f t="shared" si="36"/>
        <v>183.5</v>
      </c>
      <c r="Q316" s="160">
        <f t="shared" si="37"/>
        <v>97.1</v>
      </c>
    </row>
    <row r="317" spans="1:17" ht="57.75" thickTop="1" thickBot="1">
      <c r="A317" s="60" t="s">
        <v>243</v>
      </c>
      <c r="B317" s="167">
        <v>187.7</v>
      </c>
      <c r="C317" s="9" t="s">
        <v>92</v>
      </c>
      <c r="D317" s="10">
        <f>B317/30/5*10</f>
        <v>12.513333333333332</v>
      </c>
      <c r="E317" s="1">
        <v>0.85</v>
      </c>
      <c r="F317" s="95">
        <v>0.85</v>
      </c>
      <c r="G317" s="109">
        <f t="shared" si="31"/>
        <v>0.44999999999999996</v>
      </c>
      <c r="H317" s="109">
        <v>0.44999999999999996</v>
      </c>
      <c r="I317" s="109">
        <v>0.85</v>
      </c>
      <c r="J317" s="113">
        <f t="shared" si="32"/>
        <v>0.44999999999999996</v>
      </c>
      <c r="K317" s="12" t="s">
        <v>239</v>
      </c>
      <c r="L317" s="12" t="s">
        <v>240</v>
      </c>
      <c r="M317" s="129">
        <v>0.44999999999999996</v>
      </c>
      <c r="N317" s="142">
        <f t="shared" si="34"/>
        <v>196.55944000000002</v>
      </c>
      <c r="O317" s="128">
        <f t="shared" si="35"/>
        <v>104.06088</v>
      </c>
      <c r="P317" s="159">
        <f t="shared" si="36"/>
        <v>196.6</v>
      </c>
      <c r="Q317" s="160">
        <f t="shared" si="37"/>
        <v>104.1</v>
      </c>
    </row>
    <row r="318" spans="1:17" ht="57.75" thickTop="1" thickBot="1">
      <c r="A318" s="60" t="s">
        <v>243</v>
      </c>
      <c r="B318" s="166">
        <v>381.6</v>
      </c>
      <c r="C318" s="10" t="s">
        <v>92</v>
      </c>
      <c r="D318" s="30">
        <f>B318/30/10*10</f>
        <v>12.72</v>
      </c>
      <c r="E318" s="1">
        <v>0.85</v>
      </c>
      <c r="F318" s="95">
        <v>0.85</v>
      </c>
      <c r="G318" s="109">
        <f t="shared" ref="G318:G380" si="39">IF(AND(F318&gt;=0.15, F318&lt;=0.45), 0.1, IF(AND(F318&gt;=0.5, F318&lt;=0.9), F318-0.4, F318))</f>
        <v>0.44999999999999996</v>
      </c>
      <c r="H318" s="109">
        <v>0.44999999999999996</v>
      </c>
      <c r="I318" s="109">
        <v>0.85</v>
      </c>
      <c r="J318" s="113">
        <f t="shared" ref="J318:J380" si="40">H318</f>
        <v>0.44999999999999996</v>
      </c>
      <c r="K318" s="12" t="s">
        <v>239</v>
      </c>
      <c r="L318" s="12" t="s">
        <v>240</v>
      </c>
      <c r="M318" s="129">
        <v>0.44999999999999996</v>
      </c>
      <c r="N318" s="142">
        <f t="shared" si="34"/>
        <v>399.61152000000004</v>
      </c>
      <c r="O318" s="128">
        <f t="shared" si="35"/>
        <v>211.55904000000004</v>
      </c>
      <c r="P318" s="159">
        <f t="shared" si="36"/>
        <v>399.6</v>
      </c>
      <c r="Q318" s="160">
        <f t="shared" si="37"/>
        <v>211.6</v>
      </c>
    </row>
    <row r="319" spans="1:17" ht="57.75" thickTop="1" thickBot="1">
      <c r="A319" s="60" t="s">
        <v>243</v>
      </c>
      <c r="B319" s="166">
        <v>419.3</v>
      </c>
      <c r="C319" s="10" t="s">
        <v>92</v>
      </c>
      <c r="D319" s="30">
        <f>B319/30/20*10</f>
        <v>6.9883333333333333</v>
      </c>
      <c r="E319" s="1">
        <v>0.85</v>
      </c>
      <c r="F319" s="95">
        <v>0.85</v>
      </c>
      <c r="G319" s="109">
        <f t="shared" si="39"/>
        <v>0.44999999999999996</v>
      </c>
      <c r="H319" s="109">
        <v>0.44999999999999996</v>
      </c>
      <c r="I319" s="109">
        <v>0.85</v>
      </c>
      <c r="J319" s="113">
        <f t="shared" si="40"/>
        <v>0.44999999999999996</v>
      </c>
      <c r="K319" s="12" t="s">
        <v>239</v>
      </c>
      <c r="L319" s="12" t="s">
        <v>240</v>
      </c>
      <c r="M319" s="129">
        <v>0.44999999999999996</v>
      </c>
      <c r="N319" s="142">
        <f t="shared" si="34"/>
        <v>439.09096000000005</v>
      </c>
      <c r="O319" s="128">
        <f t="shared" si="35"/>
        <v>232.45992000000001</v>
      </c>
      <c r="P319" s="159">
        <f t="shared" si="36"/>
        <v>439.1</v>
      </c>
      <c r="Q319" s="160">
        <f t="shared" si="37"/>
        <v>232.5</v>
      </c>
    </row>
    <row r="320" spans="1:17" ht="57.75" thickTop="1" thickBot="1">
      <c r="A320" s="60" t="s">
        <v>244</v>
      </c>
      <c r="B320" s="166">
        <v>381.6</v>
      </c>
      <c r="C320" s="10" t="s">
        <v>92</v>
      </c>
      <c r="D320" s="30">
        <f>B320/30/10*10</f>
        <v>12.72</v>
      </c>
      <c r="E320" s="1">
        <v>0.85</v>
      </c>
      <c r="F320" s="95">
        <v>0.85</v>
      </c>
      <c r="G320" s="109">
        <f t="shared" si="39"/>
        <v>0.44999999999999996</v>
      </c>
      <c r="H320" s="109">
        <v>0.44999999999999996</v>
      </c>
      <c r="I320" s="109">
        <v>0.85</v>
      </c>
      <c r="J320" s="113">
        <f t="shared" si="40"/>
        <v>0.44999999999999996</v>
      </c>
      <c r="K320" s="12" t="s">
        <v>239</v>
      </c>
      <c r="L320" s="12" t="s">
        <v>240</v>
      </c>
      <c r="M320" s="129">
        <v>0.44999999999999996</v>
      </c>
      <c r="N320" s="142">
        <f t="shared" si="34"/>
        <v>399.61152000000004</v>
      </c>
      <c r="O320" s="128">
        <f t="shared" si="35"/>
        <v>211.55904000000004</v>
      </c>
      <c r="P320" s="159">
        <f t="shared" si="36"/>
        <v>399.6</v>
      </c>
      <c r="Q320" s="160">
        <f t="shared" si="37"/>
        <v>211.6</v>
      </c>
    </row>
    <row r="321" spans="1:17" ht="57.75" thickTop="1" thickBot="1">
      <c r="A321" s="60" t="s">
        <v>244</v>
      </c>
      <c r="B321" s="166">
        <v>419.3</v>
      </c>
      <c r="C321" s="10" t="s">
        <v>92</v>
      </c>
      <c r="D321" s="30">
        <f>B321/30/20*10</f>
        <v>6.9883333333333333</v>
      </c>
      <c r="E321" s="1">
        <v>0.85</v>
      </c>
      <c r="F321" s="95">
        <v>0.85</v>
      </c>
      <c r="G321" s="109">
        <f t="shared" si="39"/>
        <v>0.44999999999999996</v>
      </c>
      <c r="H321" s="109">
        <v>0.44999999999999996</v>
      </c>
      <c r="I321" s="109">
        <v>0.85</v>
      </c>
      <c r="J321" s="113">
        <f t="shared" si="40"/>
        <v>0.44999999999999996</v>
      </c>
      <c r="K321" s="12" t="s">
        <v>239</v>
      </c>
      <c r="L321" s="12" t="s">
        <v>240</v>
      </c>
      <c r="M321" s="129">
        <v>0.44999999999999996</v>
      </c>
      <c r="N321" s="142">
        <f t="shared" si="34"/>
        <v>439.09096000000005</v>
      </c>
      <c r="O321" s="128">
        <f t="shared" si="35"/>
        <v>232.45992000000001</v>
      </c>
      <c r="P321" s="159">
        <f t="shared" si="36"/>
        <v>439.1</v>
      </c>
      <c r="Q321" s="160">
        <f t="shared" si="37"/>
        <v>232.5</v>
      </c>
    </row>
    <row r="322" spans="1:17" ht="57.75" thickTop="1" thickBot="1">
      <c r="A322" s="12" t="s">
        <v>245</v>
      </c>
      <c r="B322" s="166">
        <v>381.6</v>
      </c>
      <c r="C322" s="50" t="s">
        <v>92</v>
      </c>
      <c r="D322" s="10">
        <f>B322/30/10*10</f>
        <v>12.72</v>
      </c>
      <c r="E322" s="11">
        <v>0.85</v>
      </c>
      <c r="F322" s="27">
        <v>0.85</v>
      </c>
      <c r="G322" s="109">
        <f t="shared" si="39"/>
        <v>0.44999999999999996</v>
      </c>
      <c r="H322" s="109">
        <v>0.44999999999999996</v>
      </c>
      <c r="I322" s="109">
        <v>0.85</v>
      </c>
      <c r="J322" s="113">
        <f t="shared" si="40"/>
        <v>0.44999999999999996</v>
      </c>
      <c r="K322" s="12" t="s">
        <v>246</v>
      </c>
      <c r="L322" s="12" t="s">
        <v>240</v>
      </c>
      <c r="M322" s="129">
        <v>0.44999999999999996</v>
      </c>
      <c r="N322" s="142">
        <f t="shared" si="34"/>
        <v>399.61152000000004</v>
      </c>
      <c r="O322" s="128">
        <f t="shared" si="35"/>
        <v>211.55904000000004</v>
      </c>
      <c r="P322" s="159">
        <f t="shared" si="36"/>
        <v>399.6</v>
      </c>
      <c r="Q322" s="160">
        <f t="shared" si="37"/>
        <v>211.6</v>
      </c>
    </row>
    <row r="323" spans="1:17" ht="57.75" thickTop="1" thickBot="1">
      <c r="A323" s="12" t="s">
        <v>245</v>
      </c>
      <c r="B323" s="166">
        <v>419.3</v>
      </c>
      <c r="C323" s="50" t="s">
        <v>92</v>
      </c>
      <c r="D323" s="10">
        <f>B323/30/20*10</f>
        <v>6.9883333333333333</v>
      </c>
      <c r="E323" s="11">
        <v>0.85</v>
      </c>
      <c r="F323" s="27">
        <v>0.85</v>
      </c>
      <c r="G323" s="109">
        <f t="shared" si="39"/>
        <v>0.44999999999999996</v>
      </c>
      <c r="H323" s="109">
        <v>0.44999999999999996</v>
      </c>
      <c r="I323" s="109">
        <v>0.85</v>
      </c>
      <c r="J323" s="113">
        <f t="shared" si="40"/>
        <v>0.44999999999999996</v>
      </c>
      <c r="K323" s="12" t="s">
        <v>246</v>
      </c>
      <c r="L323" s="12" t="s">
        <v>240</v>
      </c>
      <c r="M323" s="129">
        <v>0.44999999999999996</v>
      </c>
      <c r="N323" s="142">
        <f t="shared" ref="N323:N386" si="41">B323*I323*1.12*1.1</f>
        <v>439.09096000000005</v>
      </c>
      <c r="O323" s="128">
        <f t="shared" ref="O323:O386" si="42">B323*M323*1.12*1.1</f>
        <v>232.45992000000001</v>
      </c>
      <c r="P323" s="159">
        <f t="shared" ref="P323:P386" si="43">ROUND(N323, 1)</f>
        <v>439.1</v>
      </c>
      <c r="Q323" s="160">
        <f t="shared" ref="Q323:Q386" si="44">ROUND(O323, 1)</f>
        <v>232.5</v>
      </c>
    </row>
    <row r="324" spans="1:17" ht="57.75" thickTop="1" thickBot="1">
      <c r="A324" s="17" t="s">
        <v>247</v>
      </c>
      <c r="B324" s="166">
        <v>381.6</v>
      </c>
      <c r="C324" s="9" t="s">
        <v>92</v>
      </c>
      <c r="D324" s="10">
        <f>B324/30/10*10</f>
        <v>12.72</v>
      </c>
      <c r="E324" s="6">
        <v>0.85</v>
      </c>
      <c r="F324" s="101">
        <v>0.85</v>
      </c>
      <c r="G324" s="109">
        <f t="shared" si="39"/>
        <v>0.44999999999999996</v>
      </c>
      <c r="H324" s="109">
        <v>0.44999999999999996</v>
      </c>
      <c r="I324" s="109">
        <v>0.85</v>
      </c>
      <c r="J324" s="113">
        <f t="shared" si="40"/>
        <v>0.44999999999999996</v>
      </c>
      <c r="K324" s="12" t="s">
        <v>230</v>
      </c>
      <c r="L324" s="12" t="s">
        <v>231</v>
      </c>
      <c r="M324" s="129">
        <v>0.44999999999999996</v>
      </c>
      <c r="N324" s="142">
        <f t="shared" si="41"/>
        <v>399.61152000000004</v>
      </c>
      <c r="O324" s="128">
        <f t="shared" si="42"/>
        <v>211.55904000000004</v>
      </c>
      <c r="P324" s="159">
        <f t="shared" si="43"/>
        <v>399.6</v>
      </c>
      <c r="Q324" s="160">
        <f t="shared" si="44"/>
        <v>211.6</v>
      </c>
    </row>
    <row r="325" spans="1:17" ht="57.75" thickTop="1" thickBot="1">
      <c r="A325" s="17" t="s">
        <v>247</v>
      </c>
      <c r="B325" s="166">
        <v>419.3</v>
      </c>
      <c r="C325" s="9" t="s">
        <v>92</v>
      </c>
      <c r="D325" s="10">
        <f>B325/30/20*10</f>
        <v>6.9883333333333333</v>
      </c>
      <c r="E325" s="6">
        <v>0.85</v>
      </c>
      <c r="F325" s="101">
        <v>0.85</v>
      </c>
      <c r="G325" s="109">
        <f t="shared" si="39"/>
        <v>0.44999999999999996</v>
      </c>
      <c r="H325" s="109">
        <v>0.44999999999999996</v>
      </c>
      <c r="I325" s="109">
        <v>0.85</v>
      </c>
      <c r="J325" s="113">
        <f t="shared" si="40"/>
        <v>0.44999999999999996</v>
      </c>
      <c r="K325" s="12" t="s">
        <v>230</v>
      </c>
      <c r="L325" s="12" t="s">
        <v>231</v>
      </c>
      <c r="M325" s="129">
        <v>0.44999999999999996</v>
      </c>
      <c r="N325" s="142">
        <f t="shared" si="41"/>
        <v>439.09096000000005</v>
      </c>
      <c r="O325" s="128">
        <f t="shared" si="42"/>
        <v>232.45992000000001</v>
      </c>
      <c r="P325" s="159">
        <f t="shared" si="43"/>
        <v>439.1</v>
      </c>
      <c r="Q325" s="160">
        <f t="shared" si="44"/>
        <v>232.5</v>
      </c>
    </row>
    <row r="326" spans="1:17" ht="57.75" thickTop="1" thickBot="1">
      <c r="A326" s="17" t="s">
        <v>247</v>
      </c>
      <c r="B326" s="167">
        <v>187.7</v>
      </c>
      <c r="C326" s="10" t="s">
        <v>92</v>
      </c>
      <c r="D326" s="10">
        <f>B326/30/5*10</f>
        <v>12.513333333333332</v>
      </c>
      <c r="E326" s="7">
        <v>0.85</v>
      </c>
      <c r="F326" s="102">
        <v>0.85</v>
      </c>
      <c r="G326" s="109">
        <f t="shared" si="39"/>
        <v>0.44999999999999996</v>
      </c>
      <c r="H326" s="109">
        <v>0.44999999999999996</v>
      </c>
      <c r="I326" s="109">
        <v>0.85</v>
      </c>
      <c r="J326" s="113">
        <f t="shared" si="40"/>
        <v>0.44999999999999996</v>
      </c>
      <c r="K326" s="12" t="s">
        <v>230</v>
      </c>
      <c r="L326" s="12" t="s">
        <v>231</v>
      </c>
      <c r="M326" s="129">
        <v>0.44999999999999996</v>
      </c>
      <c r="N326" s="142">
        <f t="shared" si="41"/>
        <v>196.55944000000002</v>
      </c>
      <c r="O326" s="128">
        <f t="shared" si="42"/>
        <v>104.06088</v>
      </c>
      <c r="P326" s="159">
        <f t="shared" si="43"/>
        <v>196.6</v>
      </c>
      <c r="Q326" s="160">
        <f t="shared" si="44"/>
        <v>104.1</v>
      </c>
    </row>
    <row r="327" spans="1:17" ht="57.75" thickTop="1" thickBot="1">
      <c r="A327" s="17" t="s">
        <v>248</v>
      </c>
      <c r="B327" s="167">
        <v>381.6</v>
      </c>
      <c r="C327" s="10" t="s">
        <v>92</v>
      </c>
      <c r="D327" s="10">
        <f>B327/30/10*10</f>
        <v>12.72</v>
      </c>
      <c r="E327" s="7">
        <v>0.85</v>
      </c>
      <c r="F327" s="102">
        <v>0.85</v>
      </c>
      <c r="G327" s="109">
        <f t="shared" si="39"/>
        <v>0.44999999999999996</v>
      </c>
      <c r="H327" s="109">
        <v>0.44999999999999996</v>
      </c>
      <c r="I327" s="109">
        <v>0.85</v>
      </c>
      <c r="J327" s="113">
        <f t="shared" si="40"/>
        <v>0.44999999999999996</v>
      </c>
      <c r="K327" s="12" t="s">
        <v>230</v>
      </c>
      <c r="L327" s="12" t="s">
        <v>231</v>
      </c>
      <c r="M327" s="129">
        <v>0.44999999999999996</v>
      </c>
      <c r="N327" s="142">
        <f t="shared" si="41"/>
        <v>399.61152000000004</v>
      </c>
      <c r="O327" s="128">
        <f t="shared" si="42"/>
        <v>211.55904000000004</v>
      </c>
      <c r="P327" s="159">
        <f t="shared" si="43"/>
        <v>399.6</v>
      </c>
      <c r="Q327" s="160">
        <f t="shared" si="44"/>
        <v>211.6</v>
      </c>
    </row>
    <row r="328" spans="1:17" ht="57.75" thickTop="1" thickBot="1">
      <c r="A328" s="17" t="s">
        <v>248</v>
      </c>
      <c r="B328" s="167">
        <v>419.3</v>
      </c>
      <c r="C328" s="10" t="s">
        <v>92</v>
      </c>
      <c r="D328" s="10">
        <f>B328/30/20*10</f>
        <v>6.9883333333333333</v>
      </c>
      <c r="E328" s="7">
        <v>0.85</v>
      </c>
      <c r="F328" s="102">
        <v>0.85</v>
      </c>
      <c r="G328" s="109">
        <f t="shared" si="39"/>
        <v>0.44999999999999996</v>
      </c>
      <c r="H328" s="109">
        <v>0.44999999999999996</v>
      </c>
      <c r="I328" s="109">
        <v>0.85</v>
      </c>
      <c r="J328" s="113">
        <f t="shared" si="40"/>
        <v>0.44999999999999996</v>
      </c>
      <c r="K328" s="12" t="s">
        <v>230</v>
      </c>
      <c r="L328" s="12" t="s">
        <v>231</v>
      </c>
      <c r="M328" s="129">
        <v>0.44999999999999996</v>
      </c>
      <c r="N328" s="142">
        <f t="shared" si="41"/>
        <v>439.09096000000005</v>
      </c>
      <c r="O328" s="128">
        <f t="shared" si="42"/>
        <v>232.45992000000001</v>
      </c>
      <c r="P328" s="159">
        <f t="shared" si="43"/>
        <v>439.1</v>
      </c>
      <c r="Q328" s="160">
        <f t="shared" si="44"/>
        <v>232.5</v>
      </c>
    </row>
    <row r="329" spans="1:17" ht="57.75" thickTop="1" thickBot="1">
      <c r="A329" s="13" t="s">
        <v>249</v>
      </c>
      <c r="B329" s="167">
        <v>356.2</v>
      </c>
      <c r="C329" s="31" t="s">
        <v>92</v>
      </c>
      <c r="D329" s="10">
        <f>B329/28/10*10</f>
        <v>12.721428571428572</v>
      </c>
      <c r="E329" s="7">
        <v>0.85</v>
      </c>
      <c r="F329" s="102">
        <v>0.85</v>
      </c>
      <c r="G329" s="109">
        <f t="shared" si="39"/>
        <v>0.44999999999999996</v>
      </c>
      <c r="H329" s="109">
        <v>0.44999999999999996</v>
      </c>
      <c r="I329" s="109">
        <v>0.85</v>
      </c>
      <c r="J329" s="113">
        <f t="shared" si="40"/>
        <v>0.44999999999999996</v>
      </c>
      <c r="K329" s="12" t="s">
        <v>230</v>
      </c>
      <c r="L329" s="12" t="s">
        <v>231</v>
      </c>
      <c r="M329" s="129">
        <v>0.44999999999999996</v>
      </c>
      <c r="N329" s="142">
        <f t="shared" si="41"/>
        <v>373.01264000000003</v>
      </c>
      <c r="O329" s="128">
        <f t="shared" si="42"/>
        <v>197.47728000000001</v>
      </c>
      <c r="P329" s="159">
        <f t="shared" si="43"/>
        <v>373</v>
      </c>
      <c r="Q329" s="160">
        <f t="shared" si="44"/>
        <v>197.5</v>
      </c>
    </row>
    <row r="330" spans="1:17" ht="57.75" thickTop="1" thickBot="1">
      <c r="A330" s="13" t="s">
        <v>249</v>
      </c>
      <c r="B330" s="167">
        <v>391.3</v>
      </c>
      <c r="C330" s="31" t="s">
        <v>92</v>
      </c>
      <c r="D330" s="10">
        <f>B330/28/20*10</f>
        <v>6.9874999999999998</v>
      </c>
      <c r="E330" s="7">
        <v>0.85</v>
      </c>
      <c r="F330" s="102">
        <v>0.85</v>
      </c>
      <c r="G330" s="109">
        <f t="shared" si="39"/>
        <v>0.44999999999999996</v>
      </c>
      <c r="H330" s="109">
        <v>0.44999999999999996</v>
      </c>
      <c r="I330" s="109">
        <v>0.85</v>
      </c>
      <c r="J330" s="113">
        <f t="shared" si="40"/>
        <v>0.44999999999999996</v>
      </c>
      <c r="K330" s="12" t="s">
        <v>230</v>
      </c>
      <c r="L330" s="12" t="s">
        <v>231</v>
      </c>
      <c r="M330" s="129">
        <v>0.44999999999999996</v>
      </c>
      <c r="N330" s="142">
        <f t="shared" si="41"/>
        <v>409.76936000000012</v>
      </c>
      <c r="O330" s="128">
        <f t="shared" si="42"/>
        <v>216.93672000000004</v>
      </c>
      <c r="P330" s="159">
        <f t="shared" si="43"/>
        <v>409.8</v>
      </c>
      <c r="Q330" s="160">
        <f t="shared" si="44"/>
        <v>216.9</v>
      </c>
    </row>
    <row r="331" spans="1:17" ht="57.75" thickTop="1" thickBot="1">
      <c r="A331" s="13" t="s">
        <v>244</v>
      </c>
      <c r="B331" s="166">
        <v>187.7</v>
      </c>
      <c r="C331" s="19" t="s">
        <v>92</v>
      </c>
      <c r="D331" s="31">
        <f>B331/30/5*10</f>
        <v>12.513333333333332</v>
      </c>
      <c r="E331" s="7">
        <v>0.85</v>
      </c>
      <c r="F331" s="102">
        <v>0.85</v>
      </c>
      <c r="G331" s="109">
        <f t="shared" si="39"/>
        <v>0.44999999999999996</v>
      </c>
      <c r="H331" s="109">
        <v>0.44999999999999996</v>
      </c>
      <c r="I331" s="109">
        <v>0.85</v>
      </c>
      <c r="J331" s="113">
        <f t="shared" si="40"/>
        <v>0.44999999999999996</v>
      </c>
      <c r="K331" s="12" t="s">
        <v>230</v>
      </c>
      <c r="L331" s="12" t="s">
        <v>231</v>
      </c>
      <c r="M331" s="129">
        <v>0.44999999999999996</v>
      </c>
      <c r="N331" s="142">
        <f t="shared" si="41"/>
        <v>196.55944000000002</v>
      </c>
      <c r="O331" s="128">
        <f t="shared" si="42"/>
        <v>104.06088</v>
      </c>
      <c r="P331" s="159">
        <f t="shared" si="43"/>
        <v>196.6</v>
      </c>
      <c r="Q331" s="160">
        <f t="shared" si="44"/>
        <v>104.1</v>
      </c>
    </row>
    <row r="332" spans="1:17" ht="57.75" thickTop="1" thickBot="1">
      <c r="A332" s="15" t="s">
        <v>241</v>
      </c>
      <c r="B332" s="167">
        <v>187.7</v>
      </c>
      <c r="C332" s="20" t="s">
        <v>92</v>
      </c>
      <c r="D332" s="31">
        <f>B332/30/5*10</f>
        <v>12.513333333333332</v>
      </c>
      <c r="E332" s="7">
        <v>0.85</v>
      </c>
      <c r="F332" s="102">
        <v>0.85</v>
      </c>
      <c r="G332" s="109">
        <f t="shared" si="39"/>
        <v>0.44999999999999996</v>
      </c>
      <c r="H332" s="109">
        <v>0.44999999999999996</v>
      </c>
      <c r="I332" s="109">
        <v>0.85</v>
      </c>
      <c r="J332" s="113">
        <f t="shared" si="40"/>
        <v>0.44999999999999996</v>
      </c>
      <c r="K332" s="12" t="s">
        <v>230</v>
      </c>
      <c r="L332" s="12" t="s">
        <v>231</v>
      </c>
      <c r="M332" s="129">
        <v>0.44999999999999996</v>
      </c>
      <c r="N332" s="142">
        <f t="shared" si="41"/>
        <v>196.55944000000002</v>
      </c>
      <c r="O332" s="128">
        <f t="shared" si="42"/>
        <v>104.06088</v>
      </c>
      <c r="P332" s="159">
        <f t="shared" si="43"/>
        <v>196.6</v>
      </c>
      <c r="Q332" s="160">
        <f t="shared" si="44"/>
        <v>104.1</v>
      </c>
    </row>
    <row r="333" spans="1:17" ht="24" thickTop="1" thickBot="1">
      <c r="A333" s="12" t="s">
        <v>250</v>
      </c>
      <c r="B333" s="166">
        <v>367.1</v>
      </c>
      <c r="C333" s="10" t="s">
        <v>78</v>
      </c>
      <c r="D333" s="10">
        <f>B333/30/160*200</f>
        <v>15.295833333333336</v>
      </c>
      <c r="E333" s="50" t="s">
        <v>251</v>
      </c>
      <c r="F333" s="27" t="s">
        <v>251</v>
      </c>
      <c r="G333" s="109" t="str">
        <f t="shared" si="39"/>
        <v>50%</v>
      </c>
      <c r="H333" s="109" t="s">
        <v>251</v>
      </c>
      <c r="I333" s="109" t="s">
        <v>251</v>
      </c>
      <c r="J333" s="113" t="str">
        <f t="shared" si="40"/>
        <v>50%</v>
      </c>
      <c r="K333" s="12"/>
      <c r="L333" s="12" t="s">
        <v>252</v>
      </c>
      <c r="M333" s="129" t="s">
        <v>251</v>
      </c>
      <c r="N333" s="142">
        <f t="shared" si="41"/>
        <v>226.13360000000003</v>
      </c>
      <c r="O333" s="128">
        <f t="shared" si="42"/>
        <v>226.13360000000003</v>
      </c>
      <c r="P333" s="159">
        <f t="shared" si="43"/>
        <v>226.1</v>
      </c>
      <c r="Q333" s="160">
        <f t="shared" si="44"/>
        <v>226.1</v>
      </c>
    </row>
    <row r="334" spans="1:17" ht="24" thickTop="1" thickBot="1">
      <c r="A334" s="12" t="s">
        <v>253</v>
      </c>
      <c r="B334" s="166">
        <v>416.2</v>
      </c>
      <c r="C334" s="10" t="s">
        <v>255</v>
      </c>
      <c r="D334" s="10">
        <f>B334/30/145*200</f>
        <v>19.135632183908047</v>
      </c>
      <c r="E334" s="50" t="s">
        <v>251</v>
      </c>
      <c r="F334" s="27" t="s">
        <v>251</v>
      </c>
      <c r="G334" s="109" t="str">
        <f t="shared" si="39"/>
        <v>50%</v>
      </c>
      <c r="H334" s="109" t="s">
        <v>251</v>
      </c>
      <c r="I334" s="109" t="s">
        <v>251</v>
      </c>
      <c r="J334" s="113" t="str">
        <f t="shared" si="40"/>
        <v>50%</v>
      </c>
      <c r="K334" s="54"/>
      <c r="L334" s="12" t="s">
        <v>252</v>
      </c>
      <c r="M334" s="129" t="s">
        <v>251</v>
      </c>
      <c r="N334" s="142">
        <f t="shared" si="41"/>
        <v>256.37920000000003</v>
      </c>
      <c r="O334" s="128">
        <f t="shared" si="42"/>
        <v>256.37920000000003</v>
      </c>
      <c r="P334" s="159">
        <f t="shared" si="43"/>
        <v>256.39999999999998</v>
      </c>
      <c r="Q334" s="160">
        <f t="shared" si="44"/>
        <v>256.39999999999998</v>
      </c>
    </row>
    <row r="335" spans="1:17" ht="24" thickTop="1" thickBot="1">
      <c r="A335" s="12" t="s">
        <v>254</v>
      </c>
      <c r="B335" s="166">
        <v>495.3</v>
      </c>
      <c r="C335" s="10" t="s">
        <v>255</v>
      </c>
      <c r="D335" s="10">
        <f>B335/30/145*200</f>
        <v>22.77241379310345</v>
      </c>
      <c r="E335" s="1">
        <v>0.6</v>
      </c>
      <c r="F335" s="95">
        <v>0.6</v>
      </c>
      <c r="G335" s="109">
        <f t="shared" si="39"/>
        <v>0.19999999999999996</v>
      </c>
      <c r="H335" s="109">
        <v>0.19999999999999996</v>
      </c>
      <c r="I335" s="109">
        <v>0.6</v>
      </c>
      <c r="J335" s="113">
        <f t="shared" si="40"/>
        <v>0.19999999999999996</v>
      </c>
      <c r="K335" s="54"/>
      <c r="L335" s="12" t="s">
        <v>252</v>
      </c>
      <c r="M335" s="129">
        <v>0.19999999999999996</v>
      </c>
      <c r="N335" s="142">
        <f t="shared" si="41"/>
        <v>366.12576000000007</v>
      </c>
      <c r="O335" s="128">
        <f t="shared" si="42"/>
        <v>122.04191999999999</v>
      </c>
      <c r="P335" s="159">
        <f t="shared" si="43"/>
        <v>366.1</v>
      </c>
      <c r="Q335" s="160">
        <f t="shared" si="44"/>
        <v>122</v>
      </c>
    </row>
    <row r="336" spans="1:17" ht="57.75" thickTop="1" thickBot="1">
      <c r="A336" s="12" t="s">
        <v>256</v>
      </c>
      <c r="B336" s="166">
        <v>895.8</v>
      </c>
      <c r="C336" s="85" t="s">
        <v>74</v>
      </c>
      <c r="D336" s="10">
        <f>B336/30</f>
        <v>29.86</v>
      </c>
      <c r="E336" s="11">
        <v>0.75</v>
      </c>
      <c r="F336" s="27">
        <v>0.75</v>
      </c>
      <c r="G336" s="109">
        <f t="shared" si="39"/>
        <v>0.35</v>
      </c>
      <c r="H336" s="109">
        <v>0.35</v>
      </c>
      <c r="I336" s="109">
        <v>0.75</v>
      </c>
      <c r="J336" s="113">
        <f t="shared" si="40"/>
        <v>0.35</v>
      </c>
      <c r="K336" s="54" t="s">
        <v>257</v>
      </c>
      <c r="L336" s="12" t="s">
        <v>258</v>
      </c>
      <c r="M336" s="129">
        <v>0.35</v>
      </c>
      <c r="N336" s="142">
        <f t="shared" si="41"/>
        <v>827.7192</v>
      </c>
      <c r="O336" s="128">
        <f t="shared" si="42"/>
        <v>386.26895999999999</v>
      </c>
      <c r="P336" s="159">
        <f t="shared" si="43"/>
        <v>827.7</v>
      </c>
      <c r="Q336" s="160">
        <f t="shared" si="44"/>
        <v>386.3</v>
      </c>
    </row>
    <row r="337" spans="1:17" ht="57.75" thickTop="1" thickBot="1">
      <c r="A337" s="12" t="s">
        <v>256</v>
      </c>
      <c r="B337" s="166">
        <v>1093.2</v>
      </c>
      <c r="C337" s="86" t="s">
        <v>74</v>
      </c>
      <c r="D337" s="10">
        <f>B337/30</f>
        <v>36.440000000000005</v>
      </c>
      <c r="E337" s="11">
        <v>0.75</v>
      </c>
      <c r="F337" s="27">
        <v>0.75</v>
      </c>
      <c r="G337" s="109">
        <f t="shared" si="39"/>
        <v>0.35</v>
      </c>
      <c r="H337" s="109">
        <v>0.35</v>
      </c>
      <c r="I337" s="109">
        <v>0.75</v>
      </c>
      <c r="J337" s="113">
        <f t="shared" si="40"/>
        <v>0.35</v>
      </c>
      <c r="K337" s="54" t="s">
        <v>257</v>
      </c>
      <c r="L337" s="12" t="s">
        <v>258</v>
      </c>
      <c r="M337" s="129">
        <v>0.35</v>
      </c>
      <c r="N337" s="142">
        <f t="shared" si="41"/>
        <v>1010.1168000000004</v>
      </c>
      <c r="O337" s="128">
        <f t="shared" si="42"/>
        <v>471.3878400000001</v>
      </c>
      <c r="P337" s="159">
        <f t="shared" si="43"/>
        <v>1010.1</v>
      </c>
      <c r="Q337" s="160">
        <f t="shared" si="44"/>
        <v>471.4</v>
      </c>
    </row>
    <row r="338" spans="1:17" ht="57.75" thickTop="1" thickBot="1">
      <c r="A338" s="12" t="s">
        <v>259</v>
      </c>
      <c r="B338" s="166">
        <v>811.6</v>
      </c>
      <c r="C338" s="32" t="s">
        <v>260</v>
      </c>
      <c r="D338" s="10">
        <f>B338/28</f>
        <v>28.985714285714288</v>
      </c>
      <c r="E338" s="11">
        <v>0.8</v>
      </c>
      <c r="F338" s="27">
        <v>0.8</v>
      </c>
      <c r="G338" s="109">
        <f t="shared" si="39"/>
        <v>0.4</v>
      </c>
      <c r="H338" s="109">
        <v>0.4</v>
      </c>
      <c r="I338" s="109">
        <v>0.8</v>
      </c>
      <c r="J338" s="113">
        <f t="shared" si="40"/>
        <v>0.4</v>
      </c>
      <c r="K338" s="12" t="s">
        <v>261</v>
      </c>
      <c r="L338" s="12" t="s">
        <v>262</v>
      </c>
      <c r="M338" s="129">
        <v>0.4</v>
      </c>
      <c r="N338" s="142">
        <f t="shared" si="41"/>
        <v>799.91296000000023</v>
      </c>
      <c r="O338" s="128">
        <f t="shared" si="42"/>
        <v>399.95648000000011</v>
      </c>
      <c r="P338" s="159">
        <f t="shared" si="43"/>
        <v>799.9</v>
      </c>
      <c r="Q338" s="160">
        <f t="shared" si="44"/>
        <v>400</v>
      </c>
    </row>
    <row r="339" spans="1:17" ht="57.75" thickTop="1" thickBot="1">
      <c r="A339" s="12" t="s">
        <v>259</v>
      </c>
      <c r="B339" s="166">
        <v>898.1</v>
      </c>
      <c r="C339" s="32" t="s">
        <v>260</v>
      </c>
      <c r="D339" s="10">
        <f>B339/28</f>
        <v>32.075000000000003</v>
      </c>
      <c r="E339" s="11">
        <v>0.8</v>
      </c>
      <c r="F339" s="27">
        <v>0.8</v>
      </c>
      <c r="G339" s="109">
        <f t="shared" si="39"/>
        <v>0.4</v>
      </c>
      <c r="H339" s="109">
        <v>0.4</v>
      </c>
      <c r="I339" s="109">
        <v>0.8</v>
      </c>
      <c r="J339" s="113">
        <f t="shared" si="40"/>
        <v>0.4</v>
      </c>
      <c r="K339" s="12" t="s">
        <v>261</v>
      </c>
      <c r="L339" s="12" t="s">
        <v>262</v>
      </c>
      <c r="M339" s="129">
        <v>0.4</v>
      </c>
      <c r="N339" s="142">
        <f t="shared" si="41"/>
        <v>885.16736000000014</v>
      </c>
      <c r="O339" s="128">
        <f t="shared" si="42"/>
        <v>442.58368000000007</v>
      </c>
      <c r="P339" s="159">
        <f t="shared" si="43"/>
        <v>885.2</v>
      </c>
      <c r="Q339" s="160">
        <f t="shared" si="44"/>
        <v>442.6</v>
      </c>
    </row>
    <row r="340" spans="1:17" ht="57.75" thickTop="1" thickBot="1">
      <c r="A340" s="12" t="s">
        <v>259</v>
      </c>
      <c r="B340" s="166">
        <v>1081</v>
      </c>
      <c r="C340" s="32" t="s">
        <v>260</v>
      </c>
      <c r="D340" s="10">
        <f>B340/28</f>
        <v>38.607142857142854</v>
      </c>
      <c r="E340" s="11">
        <v>0.8</v>
      </c>
      <c r="F340" s="27">
        <v>0.8</v>
      </c>
      <c r="G340" s="109">
        <f t="shared" si="39"/>
        <v>0.4</v>
      </c>
      <c r="H340" s="109">
        <v>0.4</v>
      </c>
      <c r="I340" s="109">
        <v>0.8</v>
      </c>
      <c r="J340" s="113">
        <f t="shared" si="40"/>
        <v>0.4</v>
      </c>
      <c r="K340" s="12" t="s">
        <v>261</v>
      </c>
      <c r="L340" s="12" t="s">
        <v>262</v>
      </c>
      <c r="M340" s="129">
        <v>0.4</v>
      </c>
      <c r="N340" s="142">
        <f t="shared" si="41"/>
        <v>1065.4336000000003</v>
      </c>
      <c r="O340" s="128">
        <f t="shared" si="42"/>
        <v>532.71680000000015</v>
      </c>
      <c r="P340" s="159">
        <f t="shared" si="43"/>
        <v>1065.4000000000001</v>
      </c>
      <c r="Q340" s="160">
        <f t="shared" si="44"/>
        <v>532.70000000000005</v>
      </c>
    </row>
    <row r="341" spans="1:17" thickTop="1" thickBot="1">
      <c r="A341" s="12" t="s">
        <v>263</v>
      </c>
      <c r="B341" s="166">
        <v>254.1</v>
      </c>
      <c r="C341" s="50" t="s">
        <v>15</v>
      </c>
      <c r="D341" s="50" t="s">
        <v>15</v>
      </c>
      <c r="E341" s="11">
        <v>0.5</v>
      </c>
      <c r="F341" s="27">
        <v>0.5</v>
      </c>
      <c r="G341" s="109">
        <f t="shared" si="39"/>
        <v>9.9999999999999978E-2</v>
      </c>
      <c r="H341" s="109">
        <v>9.9999999999999978E-2</v>
      </c>
      <c r="I341" s="109">
        <v>0.5</v>
      </c>
      <c r="J341" s="113">
        <f t="shared" si="40"/>
        <v>9.9999999999999978E-2</v>
      </c>
      <c r="K341" s="12"/>
      <c r="L341" s="12"/>
      <c r="M341" s="129">
        <v>9.9999999999999978E-2</v>
      </c>
      <c r="N341" s="142">
        <f t="shared" si="41"/>
        <v>156.52560000000003</v>
      </c>
      <c r="O341" s="128">
        <f t="shared" si="42"/>
        <v>31.305119999999999</v>
      </c>
      <c r="P341" s="159">
        <f t="shared" si="43"/>
        <v>156.5</v>
      </c>
      <c r="Q341" s="160">
        <f t="shared" si="44"/>
        <v>31.3</v>
      </c>
    </row>
    <row r="342" spans="1:17" thickTop="1" thickBot="1">
      <c r="A342" s="13" t="s">
        <v>264</v>
      </c>
      <c r="B342" s="166">
        <v>467.5</v>
      </c>
      <c r="C342" s="19" t="s">
        <v>15</v>
      </c>
      <c r="D342" s="31" t="s">
        <v>15</v>
      </c>
      <c r="E342" s="11">
        <v>0.5</v>
      </c>
      <c r="F342" s="27">
        <v>0.5</v>
      </c>
      <c r="G342" s="109">
        <f t="shared" si="39"/>
        <v>9.9999999999999978E-2</v>
      </c>
      <c r="H342" s="109">
        <v>9.9999999999999978E-2</v>
      </c>
      <c r="I342" s="109">
        <v>0.5</v>
      </c>
      <c r="J342" s="113">
        <f t="shared" si="40"/>
        <v>9.9999999999999978E-2</v>
      </c>
      <c r="K342" s="12"/>
      <c r="L342" s="12"/>
      <c r="M342" s="129">
        <v>9.9999999999999978E-2</v>
      </c>
      <c r="N342" s="142">
        <f t="shared" si="41"/>
        <v>287.98</v>
      </c>
      <c r="O342" s="128">
        <f t="shared" si="42"/>
        <v>57.596000000000004</v>
      </c>
      <c r="P342" s="159">
        <f t="shared" si="43"/>
        <v>288</v>
      </c>
      <c r="Q342" s="160">
        <f t="shared" si="44"/>
        <v>57.6</v>
      </c>
    </row>
    <row r="343" spans="1:17" thickTop="1" thickBot="1">
      <c r="A343" s="12" t="s">
        <v>265</v>
      </c>
      <c r="B343" s="166">
        <v>283.10000000000002</v>
      </c>
      <c r="C343" s="9" t="s">
        <v>15</v>
      </c>
      <c r="D343" s="10" t="s">
        <v>15</v>
      </c>
      <c r="E343" s="11">
        <v>0.75</v>
      </c>
      <c r="F343" s="27">
        <v>0.75</v>
      </c>
      <c r="G343" s="109">
        <f t="shared" si="39"/>
        <v>0.35</v>
      </c>
      <c r="H343" s="109">
        <v>0.35</v>
      </c>
      <c r="I343" s="109">
        <v>0.75</v>
      </c>
      <c r="J343" s="113">
        <f t="shared" si="40"/>
        <v>0.35</v>
      </c>
      <c r="K343" s="12"/>
      <c r="L343" s="12"/>
      <c r="M343" s="129">
        <v>0.35</v>
      </c>
      <c r="N343" s="142">
        <f t="shared" si="41"/>
        <v>261.58440000000007</v>
      </c>
      <c r="O343" s="128">
        <f t="shared" si="42"/>
        <v>122.07272000000003</v>
      </c>
      <c r="P343" s="159">
        <f t="shared" si="43"/>
        <v>261.60000000000002</v>
      </c>
      <c r="Q343" s="160">
        <f t="shared" si="44"/>
        <v>122.1</v>
      </c>
    </row>
    <row r="344" spans="1:17" thickTop="1" thickBot="1">
      <c r="A344" s="12" t="s">
        <v>265</v>
      </c>
      <c r="B344" s="166">
        <v>283.10000000000002</v>
      </c>
      <c r="C344" s="9" t="s">
        <v>15</v>
      </c>
      <c r="D344" s="10" t="s">
        <v>15</v>
      </c>
      <c r="E344" s="11">
        <v>0.75</v>
      </c>
      <c r="F344" s="27">
        <v>0.75</v>
      </c>
      <c r="G344" s="109">
        <f t="shared" si="39"/>
        <v>0.35</v>
      </c>
      <c r="H344" s="109">
        <v>0.35</v>
      </c>
      <c r="I344" s="109">
        <v>0.75</v>
      </c>
      <c r="J344" s="113">
        <f t="shared" si="40"/>
        <v>0.35</v>
      </c>
      <c r="K344" s="12"/>
      <c r="L344" s="12"/>
      <c r="M344" s="129">
        <v>0.35</v>
      </c>
      <c r="N344" s="142">
        <f t="shared" si="41"/>
        <v>261.58440000000007</v>
      </c>
      <c r="O344" s="128">
        <f t="shared" si="42"/>
        <v>122.07272000000003</v>
      </c>
      <c r="P344" s="159">
        <f t="shared" si="43"/>
        <v>261.60000000000002</v>
      </c>
      <c r="Q344" s="160">
        <f t="shared" si="44"/>
        <v>122.1</v>
      </c>
    </row>
    <row r="345" spans="1:17" thickTop="1" thickBot="1">
      <c r="A345" s="12" t="s">
        <v>266</v>
      </c>
      <c r="B345" s="166">
        <v>242.1</v>
      </c>
      <c r="C345" s="9" t="s">
        <v>15</v>
      </c>
      <c r="D345" s="10" t="s">
        <v>15</v>
      </c>
      <c r="E345" s="11">
        <v>0.8</v>
      </c>
      <c r="F345" s="27">
        <v>0.8</v>
      </c>
      <c r="G345" s="109">
        <f t="shared" si="39"/>
        <v>0.4</v>
      </c>
      <c r="H345" s="109">
        <v>0.4</v>
      </c>
      <c r="I345" s="109">
        <v>0.8</v>
      </c>
      <c r="J345" s="113">
        <f t="shared" si="40"/>
        <v>0.4</v>
      </c>
      <c r="K345" s="12"/>
      <c r="L345" s="12"/>
      <c r="M345" s="129">
        <v>0.4</v>
      </c>
      <c r="N345" s="142">
        <f t="shared" si="41"/>
        <v>238.61376000000007</v>
      </c>
      <c r="O345" s="128">
        <f t="shared" si="42"/>
        <v>119.30688000000004</v>
      </c>
      <c r="P345" s="159">
        <f t="shared" si="43"/>
        <v>238.6</v>
      </c>
      <c r="Q345" s="160">
        <f t="shared" si="44"/>
        <v>119.3</v>
      </c>
    </row>
    <row r="346" spans="1:17" thickTop="1" thickBot="1">
      <c r="A346" s="12" t="s">
        <v>266</v>
      </c>
      <c r="B346" s="166">
        <v>242.1</v>
      </c>
      <c r="C346" s="9" t="s">
        <v>15</v>
      </c>
      <c r="D346" s="10" t="s">
        <v>15</v>
      </c>
      <c r="E346" s="11">
        <v>0.8</v>
      </c>
      <c r="F346" s="27">
        <v>0.8</v>
      </c>
      <c r="G346" s="109">
        <f t="shared" si="39"/>
        <v>0.4</v>
      </c>
      <c r="H346" s="109">
        <v>0.4</v>
      </c>
      <c r="I346" s="109">
        <v>0.8</v>
      </c>
      <c r="J346" s="113">
        <f t="shared" si="40"/>
        <v>0.4</v>
      </c>
      <c r="K346" s="12"/>
      <c r="L346" s="12"/>
      <c r="M346" s="129">
        <v>0.4</v>
      </c>
      <c r="N346" s="142">
        <f t="shared" si="41"/>
        <v>238.61376000000007</v>
      </c>
      <c r="O346" s="128">
        <f t="shared" si="42"/>
        <v>119.30688000000004</v>
      </c>
      <c r="P346" s="159">
        <f t="shared" si="43"/>
        <v>238.6</v>
      </c>
      <c r="Q346" s="160">
        <f t="shared" si="44"/>
        <v>119.3</v>
      </c>
    </row>
    <row r="347" spans="1:17" ht="57.75" thickTop="1" thickBot="1">
      <c r="A347" s="12" t="s">
        <v>267</v>
      </c>
      <c r="B347" s="166">
        <v>630.6</v>
      </c>
      <c r="C347" s="9" t="s">
        <v>22</v>
      </c>
      <c r="D347" s="10">
        <f>B347/30/10*30</f>
        <v>63.059999999999995</v>
      </c>
      <c r="E347" s="1">
        <v>0.45</v>
      </c>
      <c r="F347" s="95">
        <v>0.45</v>
      </c>
      <c r="G347" s="109">
        <f t="shared" si="39"/>
        <v>0.1</v>
      </c>
      <c r="H347" s="109">
        <v>0.1</v>
      </c>
      <c r="I347" s="109">
        <v>0.45</v>
      </c>
      <c r="J347" s="113">
        <f t="shared" si="40"/>
        <v>0.1</v>
      </c>
      <c r="K347" s="12" t="s">
        <v>268</v>
      </c>
      <c r="L347" s="12" t="s">
        <v>707</v>
      </c>
      <c r="M347" s="129">
        <v>0.1</v>
      </c>
      <c r="N347" s="142">
        <f t="shared" si="41"/>
        <v>349.60464000000013</v>
      </c>
      <c r="O347" s="128">
        <f t="shared" si="42"/>
        <v>77.689920000000029</v>
      </c>
      <c r="P347" s="159">
        <f t="shared" si="43"/>
        <v>349.6</v>
      </c>
      <c r="Q347" s="160">
        <f t="shared" si="44"/>
        <v>77.7</v>
      </c>
    </row>
    <row r="348" spans="1:17" ht="57.75" thickTop="1" thickBot="1">
      <c r="A348" s="17" t="s">
        <v>269</v>
      </c>
      <c r="B348" s="167">
        <v>485.1</v>
      </c>
      <c r="C348" s="9" t="s">
        <v>22</v>
      </c>
      <c r="D348" s="10">
        <f>B348/30/10*30</f>
        <v>48.510000000000005</v>
      </c>
      <c r="E348" s="2">
        <v>0.25</v>
      </c>
      <c r="F348" s="96">
        <v>0.25</v>
      </c>
      <c r="G348" s="109">
        <f t="shared" si="39"/>
        <v>0.1</v>
      </c>
      <c r="H348" s="109">
        <v>0.1</v>
      </c>
      <c r="I348" s="109">
        <v>0.25</v>
      </c>
      <c r="J348" s="113">
        <f t="shared" si="40"/>
        <v>0.1</v>
      </c>
      <c r="K348" s="12" t="s">
        <v>268</v>
      </c>
      <c r="L348" s="12" t="s">
        <v>707</v>
      </c>
      <c r="M348" s="129">
        <v>0.1</v>
      </c>
      <c r="N348" s="142">
        <f t="shared" si="41"/>
        <v>149.41080000000005</v>
      </c>
      <c r="O348" s="128">
        <f t="shared" si="42"/>
        <v>59.764320000000012</v>
      </c>
      <c r="P348" s="159">
        <f t="shared" si="43"/>
        <v>149.4</v>
      </c>
      <c r="Q348" s="160">
        <f t="shared" si="44"/>
        <v>59.8</v>
      </c>
    </row>
    <row r="349" spans="1:17" thickTop="1" thickBot="1">
      <c r="A349" s="12" t="s">
        <v>270</v>
      </c>
      <c r="B349" s="166">
        <v>708.7</v>
      </c>
      <c r="C349" s="10" t="s">
        <v>15</v>
      </c>
      <c r="D349" s="10" t="s">
        <v>15</v>
      </c>
      <c r="E349" s="1">
        <v>0.7</v>
      </c>
      <c r="F349" s="95">
        <v>0.7</v>
      </c>
      <c r="G349" s="109">
        <f t="shared" si="39"/>
        <v>0.29999999999999993</v>
      </c>
      <c r="H349" s="109">
        <v>0.29999999999999993</v>
      </c>
      <c r="I349" s="109">
        <v>0.7</v>
      </c>
      <c r="J349" s="113">
        <f t="shared" si="40"/>
        <v>0.29999999999999993</v>
      </c>
      <c r="K349" s="12" t="s">
        <v>271</v>
      </c>
      <c r="L349" s="12" t="s">
        <v>272</v>
      </c>
      <c r="M349" s="129">
        <v>0.29999999999999993</v>
      </c>
      <c r="N349" s="142">
        <f t="shared" si="41"/>
        <v>611.18288000000007</v>
      </c>
      <c r="O349" s="128">
        <f t="shared" si="42"/>
        <v>261.93552</v>
      </c>
      <c r="P349" s="159">
        <f t="shared" si="43"/>
        <v>611.20000000000005</v>
      </c>
      <c r="Q349" s="160">
        <f t="shared" si="44"/>
        <v>261.89999999999998</v>
      </c>
    </row>
    <row r="350" spans="1:17" ht="24" thickTop="1" thickBot="1">
      <c r="A350" s="12" t="s">
        <v>274</v>
      </c>
      <c r="B350" s="166">
        <v>923.4</v>
      </c>
      <c r="C350" s="9" t="s">
        <v>275</v>
      </c>
      <c r="D350" s="10">
        <f>B350/21*0.75</f>
        <v>32.978571428571428</v>
      </c>
      <c r="E350" s="11">
        <v>0.9</v>
      </c>
      <c r="F350" s="27">
        <v>0.9</v>
      </c>
      <c r="G350" s="109">
        <f t="shared" si="39"/>
        <v>0.5</v>
      </c>
      <c r="H350" s="109">
        <v>0.5</v>
      </c>
      <c r="I350" s="109">
        <v>0.9</v>
      </c>
      <c r="J350" s="113">
        <f t="shared" si="40"/>
        <v>0.5</v>
      </c>
      <c r="K350" s="12" t="s">
        <v>276</v>
      </c>
      <c r="L350" s="12" t="s">
        <v>277</v>
      </c>
      <c r="M350" s="129">
        <v>0.5</v>
      </c>
      <c r="N350" s="142">
        <f t="shared" si="41"/>
        <v>1023.8659200000001</v>
      </c>
      <c r="O350" s="128">
        <f t="shared" si="42"/>
        <v>568.81440000000009</v>
      </c>
      <c r="P350" s="159">
        <f t="shared" si="43"/>
        <v>1023.9</v>
      </c>
      <c r="Q350" s="160">
        <f t="shared" si="44"/>
        <v>568.79999999999995</v>
      </c>
    </row>
    <row r="351" spans="1:17" ht="24" thickTop="1" thickBot="1">
      <c r="A351" s="12" t="s">
        <v>279</v>
      </c>
      <c r="B351" s="166">
        <v>858.9</v>
      </c>
      <c r="C351" s="9" t="s">
        <v>74</v>
      </c>
      <c r="D351" s="10">
        <f>B351/28</f>
        <v>30.675000000000001</v>
      </c>
      <c r="E351" s="1">
        <v>0.85</v>
      </c>
      <c r="F351" s="95">
        <v>0.85</v>
      </c>
      <c r="G351" s="109">
        <f t="shared" si="39"/>
        <v>0.44999999999999996</v>
      </c>
      <c r="H351" s="109">
        <v>0.44999999999999996</v>
      </c>
      <c r="I351" s="109">
        <v>0.85</v>
      </c>
      <c r="J351" s="113">
        <f t="shared" si="40"/>
        <v>0.44999999999999996</v>
      </c>
      <c r="K351" s="12" t="s">
        <v>278</v>
      </c>
      <c r="L351" s="12" t="s">
        <v>277</v>
      </c>
      <c r="M351" s="129">
        <v>0.44999999999999996</v>
      </c>
      <c r="N351" s="142">
        <f t="shared" si="41"/>
        <v>899.44008000000008</v>
      </c>
      <c r="O351" s="128">
        <f t="shared" si="42"/>
        <v>476.17415999999997</v>
      </c>
      <c r="P351" s="159">
        <f t="shared" si="43"/>
        <v>899.4</v>
      </c>
      <c r="Q351" s="160">
        <f t="shared" si="44"/>
        <v>476.2</v>
      </c>
    </row>
    <row r="352" spans="1:17" ht="24" thickTop="1" thickBot="1">
      <c r="A352" s="12" t="s">
        <v>280</v>
      </c>
      <c r="B352" s="166">
        <v>142.9</v>
      </c>
      <c r="C352" s="9" t="s">
        <v>281</v>
      </c>
      <c r="D352" s="10">
        <f>B352/21*0.75</f>
        <v>5.1035714285714295</v>
      </c>
      <c r="E352" s="11">
        <v>0.25</v>
      </c>
      <c r="F352" s="27">
        <v>0.25</v>
      </c>
      <c r="G352" s="109">
        <f t="shared" si="39"/>
        <v>0.1</v>
      </c>
      <c r="H352" s="109">
        <v>0.1</v>
      </c>
      <c r="I352" s="109">
        <v>0.25</v>
      </c>
      <c r="J352" s="113">
        <f t="shared" si="40"/>
        <v>0.1</v>
      </c>
      <c r="K352" s="12" t="s">
        <v>278</v>
      </c>
      <c r="L352" s="12" t="s">
        <v>277</v>
      </c>
      <c r="M352" s="129">
        <v>0.1</v>
      </c>
      <c r="N352" s="142">
        <f t="shared" si="41"/>
        <v>44.013200000000012</v>
      </c>
      <c r="O352" s="128">
        <f t="shared" si="42"/>
        <v>17.605280000000004</v>
      </c>
      <c r="P352" s="159">
        <f t="shared" si="43"/>
        <v>44</v>
      </c>
      <c r="Q352" s="160">
        <f t="shared" si="44"/>
        <v>17.600000000000001</v>
      </c>
    </row>
    <row r="353" spans="1:17" ht="35.25" thickTop="1" thickBot="1">
      <c r="A353" s="12" t="s">
        <v>282</v>
      </c>
      <c r="B353" s="166">
        <v>417.6</v>
      </c>
      <c r="C353" s="9" t="s">
        <v>281</v>
      </c>
      <c r="D353" s="10">
        <f>B353/21*0.75</f>
        <v>14.914285714285715</v>
      </c>
      <c r="E353" s="11">
        <v>0.15</v>
      </c>
      <c r="F353" s="27">
        <v>0.15</v>
      </c>
      <c r="G353" s="109">
        <f t="shared" si="39"/>
        <v>0.1</v>
      </c>
      <c r="H353" s="109">
        <v>0.1</v>
      </c>
      <c r="I353" s="109">
        <v>0.15</v>
      </c>
      <c r="J353" s="113">
        <f t="shared" si="40"/>
        <v>0.1</v>
      </c>
      <c r="K353" s="12" t="s">
        <v>283</v>
      </c>
      <c r="L353" s="12" t="s">
        <v>277</v>
      </c>
      <c r="M353" s="129">
        <v>0.1</v>
      </c>
      <c r="N353" s="142">
        <f t="shared" si="41"/>
        <v>77.172480000000007</v>
      </c>
      <c r="O353" s="128">
        <f t="shared" si="42"/>
        <v>51.44832000000001</v>
      </c>
      <c r="P353" s="159">
        <f t="shared" si="43"/>
        <v>77.2</v>
      </c>
      <c r="Q353" s="160">
        <f t="shared" si="44"/>
        <v>51.4</v>
      </c>
    </row>
    <row r="354" spans="1:17" ht="24" thickTop="1" thickBot="1">
      <c r="A354" s="12" t="s">
        <v>284</v>
      </c>
      <c r="B354" s="166">
        <v>765.1</v>
      </c>
      <c r="C354" s="10" t="s">
        <v>103</v>
      </c>
      <c r="D354" s="10">
        <f>B354/28/2*4</f>
        <v>54.65</v>
      </c>
      <c r="E354" s="11">
        <v>0.7</v>
      </c>
      <c r="F354" s="27">
        <v>0.7</v>
      </c>
      <c r="G354" s="109">
        <f t="shared" si="39"/>
        <v>0.29999999999999993</v>
      </c>
      <c r="H354" s="109">
        <v>0.29999999999999993</v>
      </c>
      <c r="I354" s="109">
        <v>0.7</v>
      </c>
      <c r="J354" s="113">
        <f t="shared" si="40"/>
        <v>0.29999999999999993</v>
      </c>
      <c r="K354" s="12" t="s">
        <v>285</v>
      </c>
      <c r="L354" s="12" t="s">
        <v>286</v>
      </c>
      <c r="M354" s="129">
        <v>0.29999999999999993</v>
      </c>
      <c r="N354" s="142">
        <f t="shared" si="41"/>
        <v>659.82224000000008</v>
      </c>
      <c r="O354" s="128">
        <f t="shared" si="42"/>
        <v>282.78095999999994</v>
      </c>
      <c r="P354" s="159">
        <f t="shared" si="43"/>
        <v>659.8</v>
      </c>
      <c r="Q354" s="160">
        <f t="shared" si="44"/>
        <v>282.8</v>
      </c>
    </row>
    <row r="355" spans="1:17" ht="24" thickTop="1" thickBot="1">
      <c r="A355" s="12" t="s">
        <v>287</v>
      </c>
      <c r="B355" s="166">
        <v>856.5</v>
      </c>
      <c r="C355" s="10" t="s">
        <v>63</v>
      </c>
      <c r="D355" s="33">
        <f>B355/30/5*5</f>
        <v>28.55</v>
      </c>
      <c r="E355" s="1">
        <v>0.8</v>
      </c>
      <c r="F355" s="95">
        <v>0.8</v>
      </c>
      <c r="G355" s="109">
        <f t="shared" si="39"/>
        <v>0.4</v>
      </c>
      <c r="H355" s="109">
        <v>0.4</v>
      </c>
      <c r="I355" s="109">
        <v>0.8</v>
      </c>
      <c r="J355" s="113">
        <f t="shared" si="40"/>
        <v>0.4</v>
      </c>
      <c r="K355" s="12" t="s">
        <v>288</v>
      </c>
      <c r="L355" s="12" t="s">
        <v>286</v>
      </c>
      <c r="M355" s="129">
        <v>0.4</v>
      </c>
      <c r="N355" s="142">
        <f t="shared" si="41"/>
        <v>844.16640000000018</v>
      </c>
      <c r="O355" s="128">
        <f t="shared" si="42"/>
        <v>422.08320000000009</v>
      </c>
      <c r="P355" s="159">
        <f t="shared" si="43"/>
        <v>844.2</v>
      </c>
      <c r="Q355" s="160">
        <f t="shared" si="44"/>
        <v>422.1</v>
      </c>
    </row>
    <row r="356" spans="1:17" ht="24" thickTop="1" thickBot="1">
      <c r="A356" s="12" t="s">
        <v>287</v>
      </c>
      <c r="B356" s="166">
        <v>970.1</v>
      </c>
      <c r="C356" s="10" t="s">
        <v>63</v>
      </c>
      <c r="D356" s="10">
        <f>B356/30/10*5</f>
        <v>16.168333333333333</v>
      </c>
      <c r="E356" s="1">
        <v>0.8</v>
      </c>
      <c r="F356" s="95">
        <v>0.8</v>
      </c>
      <c r="G356" s="109">
        <f t="shared" si="39"/>
        <v>0.4</v>
      </c>
      <c r="H356" s="109">
        <v>0.4</v>
      </c>
      <c r="I356" s="109">
        <v>0.8</v>
      </c>
      <c r="J356" s="113">
        <f t="shared" si="40"/>
        <v>0.4</v>
      </c>
      <c r="K356" s="12" t="s">
        <v>288</v>
      </c>
      <c r="L356" s="12" t="s">
        <v>286</v>
      </c>
      <c r="M356" s="129">
        <v>0.4</v>
      </c>
      <c r="N356" s="142">
        <f t="shared" si="41"/>
        <v>956.13056000000017</v>
      </c>
      <c r="O356" s="128">
        <f t="shared" si="42"/>
        <v>478.06528000000009</v>
      </c>
      <c r="P356" s="159">
        <f t="shared" si="43"/>
        <v>956.1</v>
      </c>
      <c r="Q356" s="160">
        <f t="shared" si="44"/>
        <v>478.1</v>
      </c>
    </row>
    <row r="357" spans="1:17" ht="24" thickTop="1" thickBot="1">
      <c r="A357" s="12" t="s">
        <v>289</v>
      </c>
      <c r="B357" s="166">
        <v>285.5</v>
      </c>
      <c r="C357" s="10" t="s">
        <v>63</v>
      </c>
      <c r="D357" s="10">
        <f>+B357/10/5*5</f>
        <v>28.55</v>
      </c>
      <c r="E357" s="1">
        <v>0.8</v>
      </c>
      <c r="F357" s="95">
        <v>0.8</v>
      </c>
      <c r="G357" s="109">
        <f t="shared" si="39"/>
        <v>0.4</v>
      </c>
      <c r="H357" s="109">
        <v>0.4</v>
      </c>
      <c r="I357" s="109">
        <v>0.8</v>
      </c>
      <c r="J357" s="113">
        <f t="shared" si="40"/>
        <v>0.4</v>
      </c>
      <c r="K357" s="12" t="s">
        <v>288</v>
      </c>
      <c r="L357" s="12" t="s">
        <v>286</v>
      </c>
      <c r="M357" s="129">
        <v>0.4</v>
      </c>
      <c r="N357" s="142">
        <f t="shared" si="41"/>
        <v>281.38880000000006</v>
      </c>
      <c r="O357" s="128">
        <f t="shared" si="42"/>
        <v>140.69440000000003</v>
      </c>
      <c r="P357" s="159">
        <f t="shared" si="43"/>
        <v>281.39999999999998</v>
      </c>
      <c r="Q357" s="160">
        <f t="shared" si="44"/>
        <v>140.69999999999999</v>
      </c>
    </row>
    <row r="358" spans="1:17" ht="24" thickTop="1" thickBot="1">
      <c r="A358" s="12" t="s">
        <v>289</v>
      </c>
      <c r="B358" s="166">
        <v>856.5</v>
      </c>
      <c r="C358" s="10" t="s">
        <v>63</v>
      </c>
      <c r="D358" s="10">
        <f>+B358/30/5*5</f>
        <v>28.55</v>
      </c>
      <c r="E358" s="1">
        <v>0.8</v>
      </c>
      <c r="F358" s="95">
        <v>0.8</v>
      </c>
      <c r="G358" s="109">
        <f t="shared" si="39"/>
        <v>0.4</v>
      </c>
      <c r="H358" s="109">
        <v>0.4</v>
      </c>
      <c r="I358" s="109">
        <v>0.8</v>
      </c>
      <c r="J358" s="113">
        <f t="shared" si="40"/>
        <v>0.4</v>
      </c>
      <c r="K358" s="12" t="s">
        <v>288</v>
      </c>
      <c r="L358" s="12" t="s">
        <v>286</v>
      </c>
      <c r="M358" s="129">
        <v>0.4</v>
      </c>
      <c r="N358" s="142">
        <f t="shared" si="41"/>
        <v>844.16640000000018</v>
      </c>
      <c r="O358" s="128">
        <f t="shared" si="42"/>
        <v>422.08320000000009</v>
      </c>
      <c r="P358" s="159">
        <f t="shared" si="43"/>
        <v>844.2</v>
      </c>
      <c r="Q358" s="160">
        <f t="shared" si="44"/>
        <v>422.1</v>
      </c>
    </row>
    <row r="359" spans="1:17" ht="24" thickTop="1" thickBot="1">
      <c r="A359" s="12" t="s">
        <v>289</v>
      </c>
      <c r="B359" s="166">
        <v>970.1</v>
      </c>
      <c r="C359" s="10" t="s">
        <v>63</v>
      </c>
      <c r="D359" s="10">
        <f>+B359/30/10*5</f>
        <v>16.168333333333333</v>
      </c>
      <c r="E359" s="1">
        <v>0.8</v>
      </c>
      <c r="F359" s="95">
        <v>0.8</v>
      </c>
      <c r="G359" s="109">
        <f t="shared" si="39"/>
        <v>0.4</v>
      </c>
      <c r="H359" s="109">
        <v>0.4</v>
      </c>
      <c r="I359" s="109">
        <v>0.8</v>
      </c>
      <c r="J359" s="113">
        <f t="shared" si="40"/>
        <v>0.4</v>
      </c>
      <c r="K359" s="12" t="s">
        <v>288</v>
      </c>
      <c r="L359" s="12" t="s">
        <v>286</v>
      </c>
      <c r="M359" s="129">
        <v>0.4</v>
      </c>
      <c r="N359" s="142">
        <f t="shared" si="41"/>
        <v>956.13056000000017</v>
      </c>
      <c r="O359" s="128">
        <f t="shared" si="42"/>
        <v>478.06528000000009</v>
      </c>
      <c r="P359" s="159">
        <f t="shared" si="43"/>
        <v>956.1</v>
      </c>
      <c r="Q359" s="160">
        <f t="shared" si="44"/>
        <v>478.1</v>
      </c>
    </row>
    <row r="360" spans="1:17" ht="24" thickTop="1" thickBot="1">
      <c r="A360" s="12" t="s">
        <v>290</v>
      </c>
      <c r="B360" s="166">
        <v>491.4</v>
      </c>
      <c r="C360" s="10" t="s">
        <v>12</v>
      </c>
      <c r="D360" s="10">
        <f>B360/20/15*40</f>
        <v>65.52000000000001</v>
      </c>
      <c r="E360" s="11">
        <v>0.8</v>
      </c>
      <c r="F360" s="27">
        <v>0.8</v>
      </c>
      <c r="G360" s="109">
        <f t="shared" si="39"/>
        <v>0.4</v>
      </c>
      <c r="H360" s="109">
        <v>0.4</v>
      </c>
      <c r="I360" s="109">
        <v>0.8</v>
      </c>
      <c r="J360" s="113">
        <f t="shared" si="40"/>
        <v>0.4</v>
      </c>
      <c r="K360" s="12" t="s">
        <v>288</v>
      </c>
      <c r="L360" s="12" t="s">
        <v>286</v>
      </c>
      <c r="M360" s="129">
        <v>0.4</v>
      </c>
      <c r="N360" s="142">
        <f t="shared" si="41"/>
        <v>484.32384000000008</v>
      </c>
      <c r="O360" s="128">
        <f t="shared" si="42"/>
        <v>242.16192000000004</v>
      </c>
      <c r="P360" s="159">
        <f t="shared" si="43"/>
        <v>484.3</v>
      </c>
      <c r="Q360" s="160">
        <f t="shared" si="44"/>
        <v>242.2</v>
      </c>
    </row>
    <row r="361" spans="1:17" ht="24" thickTop="1" thickBot="1">
      <c r="A361" s="12" t="s">
        <v>290</v>
      </c>
      <c r="B361" s="166">
        <v>686</v>
      </c>
      <c r="C361" s="10" t="s">
        <v>12</v>
      </c>
      <c r="D361" s="10">
        <f>B361/20/30*40</f>
        <v>45.733333333333334</v>
      </c>
      <c r="E361" s="11">
        <v>0.8</v>
      </c>
      <c r="F361" s="27">
        <v>0.8</v>
      </c>
      <c r="G361" s="109">
        <f t="shared" si="39"/>
        <v>0.4</v>
      </c>
      <c r="H361" s="109">
        <v>0.4</v>
      </c>
      <c r="I361" s="109">
        <v>0.8</v>
      </c>
      <c r="J361" s="113">
        <f t="shared" si="40"/>
        <v>0.4</v>
      </c>
      <c r="K361" s="12" t="s">
        <v>288</v>
      </c>
      <c r="L361" s="12" t="s">
        <v>286</v>
      </c>
      <c r="M361" s="129">
        <v>0.4</v>
      </c>
      <c r="N361" s="142">
        <f t="shared" si="41"/>
        <v>676.12160000000029</v>
      </c>
      <c r="O361" s="128">
        <f t="shared" si="42"/>
        <v>338.06080000000014</v>
      </c>
      <c r="P361" s="159">
        <f t="shared" si="43"/>
        <v>676.1</v>
      </c>
      <c r="Q361" s="160">
        <f t="shared" si="44"/>
        <v>338.1</v>
      </c>
    </row>
    <row r="362" spans="1:17" thickTop="1" thickBot="1">
      <c r="A362" s="12" t="s">
        <v>291</v>
      </c>
      <c r="B362" s="166">
        <v>357.7</v>
      </c>
      <c r="C362" s="9" t="s">
        <v>292</v>
      </c>
      <c r="D362" s="10">
        <f t="shared" ref="D362:D367" si="45">B362/30/0.4*0.4</f>
        <v>11.923333333333334</v>
      </c>
      <c r="E362" s="1">
        <v>0.25</v>
      </c>
      <c r="F362" s="95">
        <v>0.25</v>
      </c>
      <c r="G362" s="109">
        <f t="shared" si="39"/>
        <v>0.1</v>
      </c>
      <c r="H362" s="109">
        <v>0.1</v>
      </c>
      <c r="I362" s="109">
        <v>0.25</v>
      </c>
      <c r="J362" s="113">
        <f t="shared" si="40"/>
        <v>0.1</v>
      </c>
      <c r="K362" s="12" t="s">
        <v>293</v>
      </c>
      <c r="L362" s="12" t="s">
        <v>294</v>
      </c>
      <c r="M362" s="129">
        <v>0.1</v>
      </c>
      <c r="N362" s="142">
        <f t="shared" si="41"/>
        <v>110.17160000000001</v>
      </c>
      <c r="O362" s="128">
        <f t="shared" si="42"/>
        <v>44.068640000000009</v>
      </c>
      <c r="P362" s="159">
        <f t="shared" si="43"/>
        <v>110.2</v>
      </c>
      <c r="Q362" s="160">
        <f t="shared" si="44"/>
        <v>44.1</v>
      </c>
    </row>
    <row r="363" spans="1:17" thickTop="1" thickBot="1">
      <c r="A363" s="12" t="s">
        <v>295</v>
      </c>
      <c r="B363" s="166">
        <v>357.7</v>
      </c>
      <c r="C363" s="9" t="s">
        <v>292</v>
      </c>
      <c r="D363" s="10">
        <f t="shared" si="45"/>
        <v>11.923333333333334</v>
      </c>
      <c r="E363" s="1">
        <v>0.25</v>
      </c>
      <c r="F363" s="95">
        <v>0.25</v>
      </c>
      <c r="G363" s="109">
        <f t="shared" si="39"/>
        <v>0.1</v>
      </c>
      <c r="H363" s="109">
        <v>0.1</v>
      </c>
      <c r="I363" s="109">
        <v>0.25</v>
      </c>
      <c r="J363" s="113">
        <f t="shared" si="40"/>
        <v>0.1</v>
      </c>
      <c r="K363" s="12" t="s">
        <v>293</v>
      </c>
      <c r="L363" s="12" t="s">
        <v>294</v>
      </c>
      <c r="M363" s="129">
        <v>0.1</v>
      </c>
      <c r="N363" s="142">
        <f t="shared" si="41"/>
        <v>110.17160000000001</v>
      </c>
      <c r="O363" s="128">
        <f t="shared" si="42"/>
        <v>44.068640000000009</v>
      </c>
      <c r="P363" s="159">
        <f t="shared" si="43"/>
        <v>110.2</v>
      </c>
      <c r="Q363" s="160">
        <f t="shared" si="44"/>
        <v>44.1</v>
      </c>
    </row>
    <row r="364" spans="1:17" thickTop="1" thickBot="1">
      <c r="A364" s="12" t="s">
        <v>296</v>
      </c>
      <c r="B364" s="166">
        <v>357.7</v>
      </c>
      <c r="C364" s="10" t="s">
        <v>297</v>
      </c>
      <c r="D364" s="10">
        <f t="shared" si="45"/>
        <v>11.923333333333334</v>
      </c>
      <c r="E364" s="1">
        <v>0.25</v>
      </c>
      <c r="F364" s="95">
        <v>0.25</v>
      </c>
      <c r="G364" s="109">
        <f t="shared" si="39"/>
        <v>0.1</v>
      </c>
      <c r="H364" s="109">
        <v>0.1</v>
      </c>
      <c r="I364" s="109">
        <v>0.25</v>
      </c>
      <c r="J364" s="113">
        <f t="shared" si="40"/>
        <v>0.1</v>
      </c>
      <c r="K364" s="12" t="s">
        <v>293</v>
      </c>
      <c r="L364" s="12" t="s">
        <v>294</v>
      </c>
      <c r="M364" s="129">
        <v>0.1</v>
      </c>
      <c r="N364" s="142">
        <f t="shared" si="41"/>
        <v>110.17160000000001</v>
      </c>
      <c r="O364" s="128">
        <f t="shared" si="42"/>
        <v>44.068640000000009</v>
      </c>
      <c r="P364" s="159">
        <f t="shared" si="43"/>
        <v>110.2</v>
      </c>
      <c r="Q364" s="160">
        <f t="shared" si="44"/>
        <v>44.1</v>
      </c>
    </row>
    <row r="365" spans="1:17" thickTop="1" thickBot="1">
      <c r="A365" s="12" t="s">
        <v>298</v>
      </c>
      <c r="B365" s="166">
        <v>357.7</v>
      </c>
      <c r="C365" s="9" t="s">
        <v>292</v>
      </c>
      <c r="D365" s="10">
        <f t="shared" si="45"/>
        <v>11.923333333333334</v>
      </c>
      <c r="E365" s="5">
        <v>0.25</v>
      </c>
      <c r="F365" s="100">
        <v>0.25</v>
      </c>
      <c r="G365" s="109">
        <f t="shared" si="39"/>
        <v>0.1</v>
      </c>
      <c r="H365" s="109">
        <v>0.1</v>
      </c>
      <c r="I365" s="109">
        <v>0.25</v>
      </c>
      <c r="J365" s="113">
        <f t="shared" si="40"/>
        <v>0.1</v>
      </c>
      <c r="K365" s="12" t="s">
        <v>293</v>
      </c>
      <c r="L365" s="12" t="s">
        <v>294</v>
      </c>
      <c r="M365" s="129">
        <v>0.1</v>
      </c>
      <c r="N365" s="142">
        <f t="shared" si="41"/>
        <v>110.17160000000001</v>
      </c>
      <c r="O365" s="128">
        <f t="shared" si="42"/>
        <v>44.068640000000009</v>
      </c>
      <c r="P365" s="159">
        <f t="shared" si="43"/>
        <v>110.2</v>
      </c>
      <c r="Q365" s="160">
        <f t="shared" si="44"/>
        <v>44.1</v>
      </c>
    </row>
    <row r="366" spans="1:17" thickTop="1" thickBot="1">
      <c r="A366" s="12" t="s">
        <v>299</v>
      </c>
      <c r="B366" s="166">
        <v>357.7</v>
      </c>
      <c r="C366" s="9" t="s">
        <v>292</v>
      </c>
      <c r="D366" s="10">
        <f t="shared" si="45"/>
        <v>11.923333333333334</v>
      </c>
      <c r="E366" s="5">
        <v>0.25</v>
      </c>
      <c r="F366" s="100">
        <v>0.25</v>
      </c>
      <c r="G366" s="109">
        <f t="shared" si="39"/>
        <v>0.1</v>
      </c>
      <c r="H366" s="109">
        <v>0.1</v>
      </c>
      <c r="I366" s="109">
        <v>0.25</v>
      </c>
      <c r="J366" s="113">
        <f t="shared" si="40"/>
        <v>0.1</v>
      </c>
      <c r="K366" s="12" t="s">
        <v>293</v>
      </c>
      <c r="L366" s="12" t="s">
        <v>294</v>
      </c>
      <c r="M366" s="129">
        <v>0.1</v>
      </c>
      <c r="N366" s="142">
        <f t="shared" si="41"/>
        <v>110.17160000000001</v>
      </c>
      <c r="O366" s="128">
        <f t="shared" si="42"/>
        <v>44.068640000000009</v>
      </c>
      <c r="P366" s="159">
        <f t="shared" si="43"/>
        <v>110.2</v>
      </c>
      <c r="Q366" s="160">
        <f t="shared" si="44"/>
        <v>44.1</v>
      </c>
    </row>
    <row r="367" spans="1:17" thickTop="1" thickBot="1">
      <c r="A367" s="12" t="s">
        <v>300</v>
      </c>
      <c r="B367" s="166">
        <v>357.7</v>
      </c>
      <c r="C367" s="9" t="s">
        <v>292</v>
      </c>
      <c r="D367" s="10">
        <f t="shared" si="45"/>
        <v>11.923333333333334</v>
      </c>
      <c r="E367" s="11">
        <v>0.25</v>
      </c>
      <c r="F367" s="27">
        <v>0.25</v>
      </c>
      <c r="G367" s="109">
        <f t="shared" si="39"/>
        <v>0.1</v>
      </c>
      <c r="H367" s="109">
        <v>0.1</v>
      </c>
      <c r="I367" s="109">
        <v>0.25</v>
      </c>
      <c r="J367" s="113">
        <f t="shared" si="40"/>
        <v>0.1</v>
      </c>
      <c r="K367" s="12" t="s">
        <v>293</v>
      </c>
      <c r="L367" s="12" t="s">
        <v>294</v>
      </c>
      <c r="M367" s="129">
        <v>0.1</v>
      </c>
      <c r="N367" s="142">
        <f t="shared" si="41"/>
        <v>110.17160000000001</v>
      </c>
      <c r="O367" s="128">
        <f t="shared" si="42"/>
        <v>44.068640000000009</v>
      </c>
      <c r="P367" s="159">
        <f t="shared" si="43"/>
        <v>110.2</v>
      </c>
      <c r="Q367" s="160">
        <f t="shared" si="44"/>
        <v>44.1</v>
      </c>
    </row>
    <row r="368" spans="1:17" thickTop="1" thickBot="1">
      <c r="A368" s="12" t="s">
        <v>301</v>
      </c>
      <c r="B368" s="167">
        <v>357.7</v>
      </c>
      <c r="C368" s="19" t="s">
        <v>292</v>
      </c>
      <c r="D368" s="10">
        <f>B368/30/0.4*0.4</f>
        <v>11.923333333333334</v>
      </c>
      <c r="E368" s="11">
        <v>0.25</v>
      </c>
      <c r="F368" s="27">
        <v>0.25</v>
      </c>
      <c r="G368" s="109">
        <f t="shared" si="39"/>
        <v>0.1</v>
      </c>
      <c r="H368" s="109">
        <v>0.1</v>
      </c>
      <c r="I368" s="109">
        <v>0.25</v>
      </c>
      <c r="J368" s="113">
        <f t="shared" si="40"/>
        <v>0.1</v>
      </c>
      <c r="K368" s="41" t="s">
        <v>293</v>
      </c>
      <c r="L368" s="41" t="s">
        <v>302</v>
      </c>
      <c r="M368" s="130">
        <v>0.1</v>
      </c>
      <c r="N368" s="142">
        <f t="shared" si="41"/>
        <v>110.17160000000001</v>
      </c>
      <c r="O368" s="128">
        <f t="shared" si="42"/>
        <v>44.068640000000009</v>
      </c>
      <c r="P368" s="159">
        <f t="shared" si="43"/>
        <v>110.2</v>
      </c>
      <c r="Q368" s="160">
        <f t="shared" si="44"/>
        <v>44.1</v>
      </c>
    </row>
    <row r="369" spans="1:17" thickTop="1" thickBot="1">
      <c r="A369" s="17" t="s">
        <v>303</v>
      </c>
      <c r="B369" s="167">
        <v>357.7</v>
      </c>
      <c r="C369" s="10" t="s">
        <v>297</v>
      </c>
      <c r="D369" s="10">
        <f>B369/30/0.4*0.4</f>
        <v>11.923333333333334</v>
      </c>
      <c r="E369" s="11">
        <v>0.25</v>
      </c>
      <c r="F369" s="27">
        <v>0.25</v>
      </c>
      <c r="G369" s="109">
        <f t="shared" si="39"/>
        <v>0.1</v>
      </c>
      <c r="H369" s="109">
        <v>0.1</v>
      </c>
      <c r="I369" s="109">
        <v>0.25</v>
      </c>
      <c r="J369" s="113">
        <f t="shared" si="40"/>
        <v>0.1</v>
      </c>
      <c r="K369" s="12" t="s">
        <v>293</v>
      </c>
      <c r="L369" s="12" t="s">
        <v>294</v>
      </c>
      <c r="M369" s="129">
        <v>0.1</v>
      </c>
      <c r="N369" s="142">
        <f t="shared" si="41"/>
        <v>110.17160000000001</v>
      </c>
      <c r="O369" s="128">
        <f t="shared" si="42"/>
        <v>44.068640000000009</v>
      </c>
      <c r="P369" s="159">
        <f t="shared" si="43"/>
        <v>110.2</v>
      </c>
      <c r="Q369" s="160">
        <f t="shared" si="44"/>
        <v>44.1</v>
      </c>
    </row>
    <row r="370" spans="1:17" thickTop="1" thickBot="1">
      <c r="A370" s="13" t="s">
        <v>304</v>
      </c>
      <c r="B370" s="167">
        <v>357.7</v>
      </c>
      <c r="C370" s="9" t="s">
        <v>292</v>
      </c>
      <c r="D370" s="10">
        <f>B370/30/0.4*0.4</f>
        <v>11.923333333333334</v>
      </c>
      <c r="E370" s="11">
        <v>0.25</v>
      </c>
      <c r="F370" s="27">
        <v>0.25</v>
      </c>
      <c r="G370" s="109">
        <f t="shared" si="39"/>
        <v>0.1</v>
      </c>
      <c r="H370" s="109">
        <v>0.1</v>
      </c>
      <c r="I370" s="109">
        <v>0.25</v>
      </c>
      <c r="J370" s="113">
        <f t="shared" si="40"/>
        <v>0.1</v>
      </c>
      <c r="K370" s="12" t="s">
        <v>293</v>
      </c>
      <c r="L370" s="12" t="s">
        <v>294</v>
      </c>
      <c r="M370" s="129">
        <v>0.1</v>
      </c>
      <c r="N370" s="142">
        <f t="shared" si="41"/>
        <v>110.17160000000001</v>
      </c>
      <c r="O370" s="128">
        <f t="shared" si="42"/>
        <v>44.068640000000009</v>
      </c>
      <c r="P370" s="159">
        <f t="shared" si="43"/>
        <v>110.2</v>
      </c>
      <c r="Q370" s="160">
        <f t="shared" si="44"/>
        <v>44.1</v>
      </c>
    </row>
    <row r="371" spans="1:17" thickTop="1" thickBot="1">
      <c r="A371" s="12" t="s">
        <v>305</v>
      </c>
      <c r="B371" s="167">
        <v>638.6</v>
      </c>
      <c r="C371" s="19" t="s">
        <v>260</v>
      </c>
      <c r="D371" s="10">
        <f>B371/30</f>
        <v>21.286666666666669</v>
      </c>
      <c r="E371" s="11">
        <v>0.65</v>
      </c>
      <c r="F371" s="27">
        <v>0.65</v>
      </c>
      <c r="G371" s="109">
        <f t="shared" si="39"/>
        <v>0.25</v>
      </c>
      <c r="H371" s="109">
        <v>0.25</v>
      </c>
      <c r="I371" s="109">
        <v>0.65</v>
      </c>
      <c r="J371" s="113">
        <f t="shared" si="40"/>
        <v>0.25</v>
      </c>
      <c r="K371" s="12" t="s">
        <v>293</v>
      </c>
      <c r="L371" s="12" t="s">
        <v>302</v>
      </c>
      <c r="M371" s="129">
        <v>0.25</v>
      </c>
      <c r="N371" s="142">
        <f t="shared" si="41"/>
        <v>511.3908800000001</v>
      </c>
      <c r="O371" s="128">
        <f t="shared" si="42"/>
        <v>196.68880000000004</v>
      </c>
      <c r="P371" s="159">
        <f t="shared" si="43"/>
        <v>511.4</v>
      </c>
      <c r="Q371" s="160">
        <f t="shared" si="44"/>
        <v>196.7</v>
      </c>
    </row>
    <row r="372" spans="1:17" thickTop="1" thickBot="1">
      <c r="A372" s="15" t="s">
        <v>306</v>
      </c>
      <c r="B372" s="167">
        <v>638.6</v>
      </c>
      <c r="C372" s="19" t="s">
        <v>260</v>
      </c>
      <c r="D372" s="31">
        <f>B372/30</f>
        <v>21.286666666666669</v>
      </c>
      <c r="E372" s="11">
        <v>0.65</v>
      </c>
      <c r="F372" s="27">
        <v>0.65</v>
      </c>
      <c r="G372" s="109">
        <f t="shared" si="39"/>
        <v>0.25</v>
      </c>
      <c r="H372" s="109">
        <v>0.25</v>
      </c>
      <c r="I372" s="109">
        <v>0.65</v>
      </c>
      <c r="J372" s="113">
        <f t="shared" si="40"/>
        <v>0.25</v>
      </c>
      <c r="K372" s="12" t="s">
        <v>293</v>
      </c>
      <c r="L372" s="12" t="s">
        <v>302</v>
      </c>
      <c r="M372" s="129">
        <v>0.25</v>
      </c>
      <c r="N372" s="142">
        <f t="shared" si="41"/>
        <v>511.3908800000001</v>
      </c>
      <c r="O372" s="128">
        <f t="shared" si="42"/>
        <v>196.68880000000004</v>
      </c>
      <c r="P372" s="159">
        <f t="shared" si="43"/>
        <v>511.4</v>
      </c>
      <c r="Q372" s="160">
        <f t="shared" si="44"/>
        <v>196.7</v>
      </c>
    </row>
    <row r="373" spans="1:17" thickTop="1" thickBot="1">
      <c r="A373" s="12" t="s">
        <v>307</v>
      </c>
      <c r="B373" s="167">
        <v>638.6</v>
      </c>
      <c r="C373" s="19" t="s">
        <v>260</v>
      </c>
      <c r="D373" s="31">
        <f>B373/30</f>
        <v>21.286666666666669</v>
      </c>
      <c r="E373" s="11">
        <v>0.65</v>
      </c>
      <c r="F373" s="27">
        <v>0.65</v>
      </c>
      <c r="G373" s="109">
        <f t="shared" si="39"/>
        <v>0.25</v>
      </c>
      <c r="H373" s="109">
        <v>0.25</v>
      </c>
      <c r="I373" s="109">
        <v>0.65</v>
      </c>
      <c r="J373" s="113">
        <f t="shared" si="40"/>
        <v>0.25</v>
      </c>
      <c r="K373" s="12" t="s">
        <v>293</v>
      </c>
      <c r="L373" s="12" t="s">
        <v>302</v>
      </c>
      <c r="M373" s="129">
        <v>0.25</v>
      </c>
      <c r="N373" s="142">
        <f t="shared" si="41"/>
        <v>511.3908800000001</v>
      </c>
      <c r="O373" s="128">
        <f t="shared" si="42"/>
        <v>196.68880000000004</v>
      </c>
      <c r="P373" s="159">
        <f t="shared" si="43"/>
        <v>511.4</v>
      </c>
      <c r="Q373" s="160">
        <f t="shared" si="44"/>
        <v>196.7</v>
      </c>
    </row>
    <row r="374" spans="1:17" thickTop="1" thickBot="1">
      <c r="A374" s="15" t="s">
        <v>308</v>
      </c>
      <c r="B374" s="167">
        <v>638.6</v>
      </c>
      <c r="C374" s="19" t="s">
        <v>260</v>
      </c>
      <c r="D374" s="31">
        <f>+B374/30</f>
        <v>21.286666666666669</v>
      </c>
      <c r="E374" s="11">
        <v>0.65</v>
      </c>
      <c r="F374" s="27">
        <v>0.65</v>
      </c>
      <c r="G374" s="109">
        <f t="shared" si="39"/>
        <v>0.25</v>
      </c>
      <c r="H374" s="109">
        <v>0.25</v>
      </c>
      <c r="I374" s="109">
        <v>0.65</v>
      </c>
      <c r="J374" s="113">
        <f t="shared" si="40"/>
        <v>0.25</v>
      </c>
      <c r="K374" s="39" t="s">
        <v>293</v>
      </c>
      <c r="L374" s="12" t="s">
        <v>302</v>
      </c>
      <c r="M374" s="129">
        <v>0.25</v>
      </c>
      <c r="N374" s="142">
        <f t="shared" si="41"/>
        <v>511.3908800000001</v>
      </c>
      <c r="O374" s="128">
        <f t="shared" si="42"/>
        <v>196.68880000000004</v>
      </c>
      <c r="P374" s="159">
        <f t="shared" si="43"/>
        <v>511.4</v>
      </c>
      <c r="Q374" s="160">
        <f t="shared" si="44"/>
        <v>196.7</v>
      </c>
    </row>
    <row r="375" spans="1:17" thickTop="1" thickBot="1">
      <c r="A375" s="57" t="s">
        <v>700</v>
      </c>
      <c r="B375" s="167">
        <v>638.6</v>
      </c>
      <c r="C375" s="44" t="s">
        <v>260</v>
      </c>
      <c r="D375" s="82">
        <f>B375/30</f>
        <v>21.286666666666669</v>
      </c>
      <c r="E375" s="11">
        <v>0.65</v>
      </c>
      <c r="F375" s="27">
        <v>0.65</v>
      </c>
      <c r="G375" s="109">
        <f t="shared" si="39"/>
        <v>0.25</v>
      </c>
      <c r="H375" s="109">
        <v>0.25</v>
      </c>
      <c r="I375" s="109">
        <v>0.65</v>
      </c>
      <c r="J375" s="113">
        <f t="shared" si="40"/>
        <v>0.25</v>
      </c>
      <c r="K375" s="39" t="s">
        <v>293</v>
      </c>
      <c r="L375" s="12" t="s">
        <v>302</v>
      </c>
      <c r="M375" s="129">
        <v>0.25</v>
      </c>
      <c r="N375" s="142">
        <f t="shared" si="41"/>
        <v>511.3908800000001</v>
      </c>
      <c r="O375" s="128">
        <f t="shared" si="42"/>
        <v>196.68880000000004</v>
      </c>
      <c r="P375" s="159">
        <f t="shared" si="43"/>
        <v>511.4</v>
      </c>
      <c r="Q375" s="160">
        <f t="shared" si="44"/>
        <v>196.7</v>
      </c>
    </row>
    <row r="376" spans="1:17" ht="35.25" thickTop="1" thickBot="1">
      <c r="A376" s="39" t="s">
        <v>693</v>
      </c>
      <c r="B376" s="167">
        <v>1327.5</v>
      </c>
      <c r="C376" s="9" t="s">
        <v>74</v>
      </c>
      <c r="D376" s="10">
        <f>B376/30</f>
        <v>44.25</v>
      </c>
      <c r="E376" s="11">
        <v>0.85</v>
      </c>
      <c r="F376" s="27">
        <v>0.85</v>
      </c>
      <c r="G376" s="109">
        <f t="shared" si="39"/>
        <v>0.44999999999999996</v>
      </c>
      <c r="H376" s="109">
        <v>0.44999999999999996</v>
      </c>
      <c r="I376" s="109">
        <v>0.85</v>
      </c>
      <c r="J376" s="113">
        <f t="shared" si="40"/>
        <v>0.44999999999999996</v>
      </c>
      <c r="K376" s="12" t="s">
        <v>309</v>
      </c>
      <c r="L376" s="12" t="s">
        <v>294</v>
      </c>
      <c r="M376" s="129">
        <v>0.44999999999999996</v>
      </c>
      <c r="N376" s="142">
        <f t="shared" si="41"/>
        <v>1390.1580000000004</v>
      </c>
      <c r="O376" s="128">
        <f t="shared" si="42"/>
        <v>735.96600000000001</v>
      </c>
      <c r="P376" s="159">
        <f t="shared" si="43"/>
        <v>1390.2</v>
      </c>
      <c r="Q376" s="160">
        <f t="shared" si="44"/>
        <v>736</v>
      </c>
    </row>
    <row r="377" spans="1:17" ht="35.25" thickTop="1" thickBot="1">
      <c r="A377" s="48" t="s">
        <v>694</v>
      </c>
      <c r="B377" s="167">
        <v>1327.5</v>
      </c>
      <c r="C377" s="9" t="s">
        <v>74</v>
      </c>
      <c r="D377" s="10">
        <f>+B377/30</f>
        <v>44.25</v>
      </c>
      <c r="E377" s="11">
        <v>0.85</v>
      </c>
      <c r="F377" s="27">
        <v>0.85</v>
      </c>
      <c r="G377" s="109">
        <f t="shared" si="39"/>
        <v>0.44999999999999996</v>
      </c>
      <c r="H377" s="109">
        <v>0.44999999999999996</v>
      </c>
      <c r="I377" s="109">
        <v>0.85</v>
      </c>
      <c r="J377" s="113">
        <f t="shared" si="40"/>
        <v>0.44999999999999996</v>
      </c>
      <c r="K377" s="12" t="s">
        <v>309</v>
      </c>
      <c r="L377" s="12" t="s">
        <v>294</v>
      </c>
      <c r="M377" s="129">
        <v>0.44999999999999996</v>
      </c>
      <c r="N377" s="142">
        <f t="shared" si="41"/>
        <v>1390.1580000000004</v>
      </c>
      <c r="O377" s="128">
        <f t="shared" si="42"/>
        <v>735.96600000000001</v>
      </c>
      <c r="P377" s="159">
        <f t="shared" si="43"/>
        <v>1390.2</v>
      </c>
      <c r="Q377" s="160">
        <f t="shared" si="44"/>
        <v>736</v>
      </c>
    </row>
    <row r="378" spans="1:17" ht="35.25" thickTop="1" thickBot="1">
      <c r="A378" s="48" t="s">
        <v>722</v>
      </c>
      <c r="B378" s="167">
        <v>1327.5</v>
      </c>
      <c r="C378" s="9" t="s">
        <v>74</v>
      </c>
      <c r="D378" s="10">
        <f>B378/30</f>
        <v>44.25</v>
      </c>
      <c r="E378" s="11">
        <v>0.85</v>
      </c>
      <c r="F378" s="27">
        <v>0.85</v>
      </c>
      <c r="G378" s="109">
        <f t="shared" si="39"/>
        <v>0.44999999999999996</v>
      </c>
      <c r="H378" s="109">
        <v>0.44999999999999996</v>
      </c>
      <c r="I378" s="109">
        <v>0.85</v>
      </c>
      <c r="J378" s="113">
        <f t="shared" si="40"/>
        <v>0.44999999999999996</v>
      </c>
      <c r="K378" s="12" t="s">
        <v>309</v>
      </c>
      <c r="L378" s="12" t="s">
        <v>294</v>
      </c>
      <c r="M378" s="129">
        <v>0.44999999999999996</v>
      </c>
      <c r="N378" s="142">
        <f t="shared" si="41"/>
        <v>1390.1580000000004</v>
      </c>
      <c r="O378" s="128">
        <f t="shared" si="42"/>
        <v>735.96600000000001</v>
      </c>
      <c r="P378" s="159">
        <f t="shared" si="43"/>
        <v>1390.2</v>
      </c>
      <c r="Q378" s="160">
        <f t="shared" si="44"/>
        <v>736</v>
      </c>
    </row>
    <row r="379" spans="1:17" ht="35.25" thickTop="1" thickBot="1">
      <c r="A379" s="48" t="s">
        <v>723</v>
      </c>
      <c r="B379" s="167">
        <v>1327.5</v>
      </c>
      <c r="C379" s="9" t="s">
        <v>74</v>
      </c>
      <c r="D379" s="10">
        <f>B379/30</f>
        <v>44.25</v>
      </c>
      <c r="E379" s="11">
        <v>0.85</v>
      </c>
      <c r="F379" s="27">
        <v>0.85</v>
      </c>
      <c r="G379" s="109">
        <f t="shared" si="39"/>
        <v>0.44999999999999996</v>
      </c>
      <c r="H379" s="109">
        <v>0.44999999999999996</v>
      </c>
      <c r="I379" s="109">
        <v>0.85</v>
      </c>
      <c r="J379" s="113">
        <f t="shared" si="40"/>
        <v>0.44999999999999996</v>
      </c>
      <c r="K379" s="12" t="s">
        <v>309</v>
      </c>
      <c r="L379" s="12" t="s">
        <v>294</v>
      </c>
      <c r="M379" s="129">
        <v>0.44999999999999996</v>
      </c>
      <c r="N379" s="142">
        <f t="shared" si="41"/>
        <v>1390.1580000000004</v>
      </c>
      <c r="O379" s="128">
        <f t="shared" si="42"/>
        <v>735.96600000000001</v>
      </c>
      <c r="P379" s="159">
        <f t="shared" si="43"/>
        <v>1390.2</v>
      </c>
      <c r="Q379" s="160">
        <f t="shared" si="44"/>
        <v>736</v>
      </c>
    </row>
    <row r="380" spans="1:17" thickTop="1" thickBot="1">
      <c r="A380" s="12" t="s">
        <v>310</v>
      </c>
      <c r="B380" s="166">
        <v>378.5</v>
      </c>
      <c r="C380" s="9" t="s">
        <v>63</v>
      </c>
      <c r="D380" s="10">
        <f>B380/28/5*5</f>
        <v>13.517857142857142</v>
      </c>
      <c r="E380" s="1">
        <v>0.65</v>
      </c>
      <c r="F380" s="95">
        <v>0.65</v>
      </c>
      <c r="G380" s="109">
        <f t="shared" si="39"/>
        <v>0.25</v>
      </c>
      <c r="H380" s="109">
        <v>0.25</v>
      </c>
      <c r="I380" s="109">
        <v>0.65</v>
      </c>
      <c r="J380" s="113">
        <f t="shared" si="40"/>
        <v>0.25</v>
      </c>
      <c r="K380" s="12" t="s">
        <v>293</v>
      </c>
      <c r="L380" s="12" t="s">
        <v>294</v>
      </c>
      <c r="M380" s="129">
        <v>0.25</v>
      </c>
      <c r="N380" s="142">
        <f t="shared" si="41"/>
        <v>303.10280000000012</v>
      </c>
      <c r="O380" s="128">
        <f t="shared" si="42"/>
        <v>116.57800000000002</v>
      </c>
      <c r="P380" s="159">
        <f t="shared" si="43"/>
        <v>303.10000000000002</v>
      </c>
      <c r="Q380" s="160">
        <f t="shared" si="44"/>
        <v>116.6</v>
      </c>
    </row>
    <row r="381" spans="1:17" thickTop="1" thickBot="1">
      <c r="A381" s="12" t="s">
        <v>311</v>
      </c>
      <c r="B381" s="166">
        <v>312.5</v>
      </c>
      <c r="C381" s="9" t="s">
        <v>63</v>
      </c>
      <c r="D381" s="10">
        <f>B381/30/5*5</f>
        <v>10.416666666666664</v>
      </c>
      <c r="E381" s="1">
        <v>0.55000000000000004</v>
      </c>
      <c r="F381" s="95">
        <v>0.55000000000000004</v>
      </c>
      <c r="G381" s="109">
        <f t="shared" ref="G381:G444" si="46">IF(AND(F381&gt;=0.15, F381&lt;=0.45), 0.1, IF(AND(F381&gt;=0.5, F381&lt;=0.9), F381-0.4, F381))</f>
        <v>0.15000000000000002</v>
      </c>
      <c r="H381" s="109">
        <v>0.15000000000000002</v>
      </c>
      <c r="I381" s="109">
        <v>0.55000000000000004</v>
      </c>
      <c r="J381" s="113">
        <f t="shared" ref="J381:J444" si="47">H381</f>
        <v>0.15000000000000002</v>
      </c>
      <c r="K381" s="12" t="s">
        <v>293</v>
      </c>
      <c r="L381" s="12" t="s">
        <v>294</v>
      </c>
      <c r="M381" s="129">
        <v>0.15000000000000002</v>
      </c>
      <c r="N381" s="142">
        <f t="shared" si="41"/>
        <v>211.75000000000006</v>
      </c>
      <c r="O381" s="128">
        <f t="shared" si="42"/>
        <v>57.750000000000021</v>
      </c>
      <c r="P381" s="159">
        <f t="shared" si="43"/>
        <v>211.8</v>
      </c>
      <c r="Q381" s="160">
        <f t="shared" si="44"/>
        <v>57.8</v>
      </c>
    </row>
    <row r="382" spans="1:17" ht="24" thickTop="1" thickBot="1">
      <c r="A382" s="12" t="s">
        <v>312</v>
      </c>
      <c r="B382" s="166">
        <v>291.7</v>
      </c>
      <c r="C382" s="9" t="s">
        <v>63</v>
      </c>
      <c r="D382" s="10">
        <f>B382/28/5*5</f>
        <v>10.417857142857143</v>
      </c>
      <c r="E382" s="1">
        <v>0.55000000000000004</v>
      </c>
      <c r="F382" s="95">
        <v>0.55000000000000004</v>
      </c>
      <c r="G382" s="109">
        <f t="shared" si="46"/>
        <v>0.15000000000000002</v>
      </c>
      <c r="H382" s="109">
        <v>0.15000000000000002</v>
      </c>
      <c r="I382" s="109">
        <v>0.55000000000000004</v>
      </c>
      <c r="J382" s="113">
        <f t="shared" si="47"/>
        <v>0.15000000000000002</v>
      </c>
      <c r="K382" s="12" t="s">
        <v>293</v>
      </c>
      <c r="L382" s="12" t="s">
        <v>294</v>
      </c>
      <c r="M382" s="129">
        <v>0.15000000000000002</v>
      </c>
      <c r="N382" s="142">
        <f t="shared" si="41"/>
        <v>197.65592000000004</v>
      </c>
      <c r="O382" s="128">
        <f t="shared" si="42"/>
        <v>53.906160000000014</v>
      </c>
      <c r="P382" s="159">
        <f t="shared" si="43"/>
        <v>197.7</v>
      </c>
      <c r="Q382" s="160">
        <f t="shared" si="44"/>
        <v>53.9</v>
      </c>
    </row>
    <row r="383" spans="1:17" thickTop="1" thickBot="1">
      <c r="A383" s="12" t="s">
        <v>313</v>
      </c>
      <c r="B383" s="166">
        <v>291.7</v>
      </c>
      <c r="C383" s="9" t="s">
        <v>63</v>
      </c>
      <c r="D383" s="10">
        <f>B383/28/5*5</f>
        <v>10.417857142857143</v>
      </c>
      <c r="E383" s="1">
        <v>0.55000000000000004</v>
      </c>
      <c r="F383" s="95">
        <v>0.55000000000000004</v>
      </c>
      <c r="G383" s="109">
        <f t="shared" si="46"/>
        <v>0.15000000000000002</v>
      </c>
      <c r="H383" s="109">
        <v>0.15000000000000002</v>
      </c>
      <c r="I383" s="109">
        <v>0.55000000000000004</v>
      </c>
      <c r="J383" s="113">
        <f t="shared" si="47"/>
        <v>0.15000000000000002</v>
      </c>
      <c r="K383" s="12" t="s">
        <v>293</v>
      </c>
      <c r="L383" s="12" t="s">
        <v>294</v>
      </c>
      <c r="M383" s="129">
        <v>0.15000000000000002</v>
      </c>
      <c r="N383" s="142">
        <f t="shared" si="41"/>
        <v>197.65592000000004</v>
      </c>
      <c r="O383" s="128">
        <f t="shared" si="42"/>
        <v>53.906160000000014</v>
      </c>
      <c r="P383" s="159">
        <f t="shared" si="43"/>
        <v>197.7</v>
      </c>
      <c r="Q383" s="160">
        <f t="shared" si="44"/>
        <v>53.9</v>
      </c>
    </row>
    <row r="384" spans="1:17" thickTop="1" thickBot="1">
      <c r="A384" s="41" t="s">
        <v>314</v>
      </c>
      <c r="B384" s="167">
        <v>312.5</v>
      </c>
      <c r="C384" s="9" t="s">
        <v>63</v>
      </c>
      <c r="D384" s="10">
        <f>B384/30/5*5</f>
        <v>10.416666666666664</v>
      </c>
      <c r="E384" s="4">
        <v>0.55000000000000004</v>
      </c>
      <c r="F384" s="99">
        <v>0.55000000000000004</v>
      </c>
      <c r="G384" s="109">
        <f t="shared" si="46"/>
        <v>0.15000000000000002</v>
      </c>
      <c r="H384" s="109">
        <v>0.15000000000000002</v>
      </c>
      <c r="I384" s="109">
        <v>0.55000000000000004</v>
      </c>
      <c r="J384" s="113">
        <f t="shared" si="47"/>
        <v>0.15000000000000002</v>
      </c>
      <c r="K384" s="41" t="s">
        <v>293</v>
      </c>
      <c r="L384" s="41" t="s">
        <v>294</v>
      </c>
      <c r="M384" s="130">
        <v>0.15000000000000002</v>
      </c>
      <c r="N384" s="142">
        <f t="shared" si="41"/>
        <v>211.75000000000006</v>
      </c>
      <c r="O384" s="128">
        <f t="shared" si="42"/>
        <v>57.750000000000021</v>
      </c>
      <c r="P384" s="159">
        <f t="shared" si="43"/>
        <v>211.8</v>
      </c>
      <c r="Q384" s="160">
        <f t="shared" si="44"/>
        <v>57.8</v>
      </c>
    </row>
    <row r="385" spans="1:17" thickTop="1" thickBot="1">
      <c r="A385" s="12" t="s">
        <v>315</v>
      </c>
      <c r="B385" s="166">
        <v>559.4</v>
      </c>
      <c r="C385" s="9" t="s">
        <v>316</v>
      </c>
      <c r="D385" s="10">
        <f>B385/30/0.5*0.5</f>
        <v>18.646666666666665</v>
      </c>
      <c r="E385" s="1">
        <v>0.8</v>
      </c>
      <c r="F385" s="95">
        <v>0.8</v>
      </c>
      <c r="G385" s="109">
        <f t="shared" si="46"/>
        <v>0.4</v>
      </c>
      <c r="H385" s="109">
        <v>0.4</v>
      </c>
      <c r="I385" s="109">
        <v>0.8</v>
      </c>
      <c r="J385" s="113">
        <f t="shared" si="47"/>
        <v>0.4</v>
      </c>
      <c r="K385" s="12" t="s">
        <v>293</v>
      </c>
      <c r="L385" s="12" t="s">
        <v>317</v>
      </c>
      <c r="M385" s="129">
        <v>0.4</v>
      </c>
      <c r="N385" s="142">
        <f t="shared" si="41"/>
        <v>551.34464000000014</v>
      </c>
      <c r="O385" s="128">
        <f t="shared" si="42"/>
        <v>275.67232000000007</v>
      </c>
      <c r="P385" s="159">
        <f t="shared" si="43"/>
        <v>551.29999999999995</v>
      </c>
      <c r="Q385" s="160">
        <f t="shared" si="44"/>
        <v>275.7</v>
      </c>
    </row>
    <row r="386" spans="1:17" thickTop="1" thickBot="1">
      <c r="A386" s="12" t="s">
        <v>318</v>
      </c>
      <c r="B386" s="166">
        <v>559.4</v>
      </c>
      <c r="C386" s="9" t="s">
        <v>316</v>
      </c>
      <c r="D386" s="10">
        <f t="shared" ref="D386:D390" si="48">B386/30/0.5*0.5</f>
        <v>18.646666666666665</v>
      </c>
      <c r="E386" s="6">
        <v>0.8</v>
      </c>
      <c r="F386" s="101">
        <v>0.8</v>
      </c>
      <c r="G386" s="109">
        <f t="shared" si="46"/>
        <v>0.4</v>
      </c>
      <c r="H386" s="109">
        <v>0.4</v>
      </c>
      <c r="I386" s="109">
        <v>0.8</v>
      </c>
      <c r="J386" s="113">
        <f t="shared" si="47"/>
        <v>0.4</v>
      </c>
      <c r="K386" s="12" t="s">
        <v>293</v>
      </c>
      <c r="L386" s="12" t="s">
        <v>317</v>
      </c>
      <c r="M386" s="129">
        <v>0.4</v>
      </c>
      <c r="N386" s="142">
        <f t="shared" si="41"/>
        <v>551.34464000000014</v>
      </c>
      <c r="O386" s="128">
        <f t="shared" si="42"/>
        <v>275.67232000000007</v>
      </c>
      <c r="P386" s="159">
        <f t="shared" si="43"/>
        <v>551.29999999999995</v>
      </c>
      <c r="Q386" s="160">
        <f t="shared" si="44"/>
        <v>275.7</v>
      </c>
    </row>
    <row r="387" spans="1:17" thickTop="1" thickBot="1">
      <c r="A387" s="17" t="s">
        <v>319</v>
      </c>
      <c r="B387" s="166">
        <v>559.4</v>
      </c>
      <c r="C387" s="9" t="s">
        <v>316</v>
      </c>
      <c r="D387" s="10">
        <f t="shared" si="48"/>
        <v>18.646666666666665</v>
      </c>
      <c r="E387" s="11">
        <v>0.8</v>
      </c>
      <c r="F387" s="27">
        <v>0.8</v>
      </c>
      <c r="G387" s="109">
        <f t="shared" si="46"/>
        <v>0.4</v>
      </c>
      <c r="H387" s="109">
        <v>0.4</v>
      </c>
      <c r="I387" s="109">
        <v>0.8</v>
      </c>
      <c r="J387" s="113">
        <f t="shared" si="47"/>
        <v>0.4</v>
      </c>
      <c r="K387" s="12" t="s">
        <v>293</v>
      </c>
      <c r="L387" s="12" t="s">
        <v>317</v>
      </c>
      <c r="M387" s="129">
        <v>0.4</v>
      </c>
      <c r="N387" s="142">
        <f t="shared" ref="N387:N450" si="49">B387*I387*1.12*1.1</f>
        <v>551.34464000000014</v>
      </c>
      <c r="O387" s="128">
        <f t="shared" ref="O387:O450" si="50">B387*M387*1.12*1.1</f>
        <v>275.67232000000007</v>
      </c>
      <c r="P387" s="159">
        <f t="shared" ref="P387:P450" si="51">ROUND(N387, 1)</f>
        <v>551.29999999999995</v>
      </c>
      <c r="Q387" s="160">
        <f t="shared" ref="Q387:Q450" si="52">ROUND(O387, 1)</f>
        <v>275.7</v>
      </c>
    </row>
    <row r="388" spans="1:17" thickTop="1" thickBot="1">
      <c r="A388" s="12" t="s">
        <v>320</v>
      </c>
      <c r="B388" s="167">
        <v>559.4</v>
      </c>
      <c r="C388" s="9" t="s">
        <v>316</v>
      </c>
      <c r="D388" s="10">
        <f t="shared" si="48"/>
        <v>18.646666666666665</v>
      </c>
      <c r="E388" s="11">
        <v>0.8</v>
      </c>
      <c r="F388" s="27">
        <v>0.8</v>
      </c>
      <c r="G388" s="109">
        <f t="shared" si="46"/>
        <v>0.4</v>
      </c>
      <c r="H388" s="109">
        <v>0.4</v>
      </c>
      <c r="I388" s="109">
        <v>0.8</v>
      </c>
      <c r="J388" s="113">
        <f t="shared" si="47"/>
        <v>0.4</v>
      </c>
      <c r="K388" s="41" t="s">
        <v>293</v>
      </c>
      <c r="L388" s="41" t="s">
        <v>317</v>
      </c>
      <c r="M388" s="130">
        <v>0.4</v>
      </c>
      <c r="N388" s="142">
        <f t="shared" si="49"/>
        <v>551.34464000000014</v>
      </c>
      <c r="O388" s="128">
        <f t="shared" si="50"/>
        <v>275.67232000000007</v>
      </c>
      <c r="P388" s="159">
        <f t="shared" si="51"/>
        <v>551.29999999999995</v>
      </c>
      <c r="Q388" s="160">
        <f t="shared" si="52"/>
        <v>275.7</v>
      </c>
    </row>
    <row r="389" spans="1:17" thickTop="1" thickBot="1">
      <c r="A389" s="13" t="s">
        <v>321</v>
      </c>
      <c r="B389" s="166">
        <v>559.4</v>
      </c>
      <c r="C389" s="9" t="s">
        <v>316</v>
      </c>
      <c r="D389" s="31">
        <f t="shared" si="48"/>
        <v>18.646666666666665</v>
      </c>
      <c r="E389" s="11">
        <v>0.8</v>
      </c>
      <c r="F389" s="27">
        <v>0.8</v>
      </c>
      <c r="G389" s="109">
        <f t="shared" si="46"/>
        <v>0.4</v>
      </c>
      <c r="H389" s="109">
        <v>0.4</v>
      </c>
      <c r="I389" s="109">
        <v>0.8</v>
      </c>
      <c r="J389" s="113">
        <f t="shared" si="47"/>
        <v>0.4</v>
      </c>
      <c r="K389" s="12" t="s">
        <v>293</v>
      </c>
      <c r="L389" s="12" t="s">
        <v>317</v>
      </c>
      <c r="M389" s="129">
        <v>0.4</v>
      </c>
      <c r="N389" s="142">
        <f t="shared" si="49"/>
        <v>551.34464000000014</v>
      </c>
      <c r="O389" s="128">
        <f t="shared" si="50"/>
        <v>275.67232000000007</v>
      </c>
      <c r="P389" s="159">
        <f t="shared" si="51"/>
        <v>551.29999999999995</v>
      </c>
      <c r="Q389" s="160">
        <f t="shared" si="52"/>
        <v>275.7</v>
      </c>
    </row>
    <row r="390" spans="1:17" thickTop="1" thickBot="1">
      <c r="A390" s="13" t="s">
        <v>322</v>
      </c>
      <c r="B390" s="167">
        <v>559.4</v>
      </c>
      <c r="C390" s="10" t="s">
        <v>316</v>
      </c>
      <c r="D390" s="10">
        <f t="shared" si="48"/>
        <v>18.646666666666665</v>
      </c>
      <c r="E390" s="11">
        <v>0.8</v>
      </c>
      <c r="F390" s="27">
        <v>0.8</v>
      </c>
      <c r="G390" s="109">
        <f t="shared" si="46"/>
        <v>0.4</v>
      </c>
      <c r="H390" s="109">
        <v>0.4</v>
      </c>
      <c r="I390" s="109">
        <v>0.8</v>
      </c>
      <c r="J390" s="113">
        <f t="shared" si="47"/>
        <v>0.4</v>
      </c>
      <c r="K390" s="12" t="s">
        <v>293</v>
      </c>
      <c r="L390" s="12" t="s">
        <v>317</v>
      </c>
      <c r="M390" s="129">
        <v>0.4</v>
      </c>
      <c r="N390" s="142">
        <f t="shared" si="49"/>
        <v>551.34464000000014</v>
      </c>
      <c r="O390" s="128">
        <f t="shared" si="50"/>
        <v>275.67232000000007</v>
      </c>
      <c r="P390" s="159">
        <f t="shared" si="51"/>
        <v>551.29999999999995</v>
      </c>
      <c r="Q390" s="160">
        <f t="shared" si="52"/>
        <v>275.7</v>
      </c>
    </row>
    <row r="391" spans="1:17" thickTop="1" thickBot="1">
      <c r="A391" s="12" t="s">
        <v>323</v>
      </c>
      <c r="B391" s="167">
        <v>1885.2</v>
      </c>
      <c r="C391" s="9" t="s">
        <v>324</v>
      </c>
      <c r="D391" s="10">
        <f>+B391/30/60*240</f>
        <v>251.36</v>
      </c>
      <c r="E391" s="1">
        <v>0.1</v>
      </c>
      <c r="F391" s="95">
        <v>0.1</v>
      </c>
      <c r="G391" s="109">
        <f t="shared" si="46"/>
        <v>0.1</v>
      </c>
      <c r="H391" s="109">
        <v>0.1</v>
      </c>
      <c r="I391" s="109">
        <v>0.1</v>
      </c>
      <c r="J391" s="113">
        <f t="shared" si="47"/>
        <v>0.1</v>
      </c>
      <c r="K391" s="12"/>
      <c r="L391" s="12"/>
      <c r="M391" s="129">
        <v>0.1</v>
      </c>
      <c r="N391" s="142">
        <f t="shared" si="49"/>
        <v>232.25664000000006</v>
      </c>
      <c r="O391" s="128">
        <f t="shared" si="50"/>
        <v>232.25664000000006</v>
      </c>
      <c r="P391" s="159">
        <f t="shared" si="51"/>
        <v>232.3</v>
      </c>
      <c r="Q391" s="160">
        <f t="shared" si="52"/>
        <v>232.3</v>
      </c>
    </row>
    <row r="392" spans="1:17" thickTop="1" thickBot="1">
      <c r="A392" s="12" t="s">
        <v>323</v>
      </c>
      <c r="B392" s="167">
        <v>3711.9</v>
      </c>
      <c r="C392" s="9" t="s">
        <v>324</v>
      </c>
      <c r="D392" s="10">
        <f>+B392/30/120*240</f>
        <v>247.46</v>
      </c>
      <c r="E392" s="1">
        <v>0.1</v>
      </c>
      <c r="F392" s="95">
        <v>0.1</v>
      </c>
      <c r="G392" s="109">
        <f t="shared" si="46"/>
        <v>0.1</v>
      </c>
      <c r="H392" s="109">
        <v>0.1</v>
      </c>
      <c r="I392" s="109">
        <v>0.1</v>
      </c>
      <c r="J392" s="113">
        <f t="shared" si="47"/>
        <v>0.1</v>
      </c>
      <c r="K392" s="12"/>
      <c r="L392" s="12"/>
      <c r="M392" s="129">
        <v>0.1</v>
      </c>
      <c r="N392" s="142">
        <f t="shared" si="49"/>
        <v>457.30608000000018</v>
      </c>
      <c r="O392" s="128">
        <f t="shared" si="50"/>
        <v>457.30608000000018</v>
      </c>
      <c r="P392" s="159">
        <f t="shared" si="51"/>
        <v>457.3</v>
      </c>
      <c r="Q392" s="160">
        <f t="shared" si="52"/>
        <v>457.3</v>
      </c>
    </row>
    <row r="393" spans="1:17" thickTop="1" thickBot="1">
      <c r="A393" s="57" t="s">
        <v>702</v>
      </c>
      <c r="B393" s="167">
        <v>324.10000000000002</v>
      </c>
      <c r="C393" s="44" t="s">
        <v>703</v>
      </c>
      <c r="D393" s="10">
        <f>B393/50/112*150</f>
        <v>8.6812500000000004</v>
      </c>
      <c r="E393" s="11">
        <v>0.65</v>
      </c>
      <c r="F393" s="27">
        <v>0.65</v>
      </c>
      <c r="G393" s="109">
        <f t="shared" si="46"/>
        <v>0.25</v>
      </c>
      <c r="H393" s="109">
        <v>0.25</v>
      </c>
      <c r="I393" s="109">
        <v>0.65</v>
      </c>
      <c r="J393" s="113">
        <f t="shared" si="47"/>
        <v>0.25</v>
      </c>
      <c r="K393" s="15"/>
      <c r="L393" s="15"/>
      <c r="M393" s="131">
        <v>0.25</v>
      </c>
      <c r="N393" s="142">
        <f t="shared" si="49"/>
        <v>259.53928000000008</v>
      </c>
      <c r="O393" s="128">
        <f t="shared" si="50"/>
        <v>99.822800000000029</v>
      </c>
      <c r="P393" s="159">
        <f t="shared" si="51"/>
        <v>259.5</v>
      </c>
      <c r="Q393" s="160">
        <f t="shared" si="52"/>
        <v>99.8</v>
      </c>
    </row>
    <row r="394" spans="1:17" thickTop="1" thickBot="1">
      <c r="A394" s="57" t="s">
        <v>702</v>
      </c>
      <c r="B394" s="167">
        <v>358.2</v>
      </c>
      <c r="C394" s="44" t="s">
        <v>703</v>
      </c>
      <c r="D394" s="10">
        <f>B394/50/137*150</f>
        <v>7.8437956204379553</v>
      </c>
      <c r="E394" s="11">
        <v>0.65</v>
      </c>
      <c r="F394" s="27">
        <v>0.65</v>
      </c>
      <c r="G394" s="109">
        <f t="shared" si="46"/>
        <v>0.25</v>
      </c>
      <c r="H394" s="109">
        <v>0.25</v>
      </c>
      <c r="I394" s="109">
        <v>0.65</v>
      </c>
      <c r="J394" s="113">
        <f t="shared" si="47"/>
        <v>0.25</v>
      </c>
      <c r="K394" s="15"/>
      <c r="L394" s="15"/>
      <c r="M394" s="131">
        <v>0.25</v>
      </c>
      <c r="N394" s="142">
        <f t="shared" si="49"/>
        <v>286.84656000000007</v>
      </c>
      <c r="O394" s="128">
        <f t="shared" si="50"/>
        <v>110.32560000000002</v>
      </c>
      <c r="P394" s="159">
        <f t="shared" si="51"/>
        <v>286.8</v>
      </c>
      <c r="Q394" s="160">
        <f t="shared" si="52"/>
        <v>110.3</v>
      </c>
    </row>
    <row r="395" spans="1:17" thickTop="1" thickBot="1">
      <c r="A395" s="57" t="s">
        <v>702</v>
      </c>
      <c r="B395" s="167">
        <v>254.4</v>
      </c>
      <c r="C395" s="44" t="s">
        <v>703</v>
      </c>
      <c r="D395" s="10">
        <f>B395/50/88*150</f>
        <v>8.672727272727272</v>
      </c>
      <c r="E395" s="11">
        <v>0.55000000000000004</v>
      </c>
      <c r="F395" s="27">
        <v>0.55000000000000004</v>
      </c>
      <c r="G395" s="109">
        <f t="shared" si="46"/>
        <v>0.15000000000000002</v>
      </c>
      <c r="H395" s="109">
        <v>0.15000000000000002</v>
      </c>
      <c r="I395" s="109">
        <v>0.55000000000000004</v>
      </c>
      <c r="J395" s="113">
        <f t="shared" si="47"/>
        <v>0.15000000000000002</v>
      </c>
      <c r="K395" s="15"/>
      <c r="L395" s="15"/>
      <c r="M395" s="131">
        <v>0.15000000000000002</v>
      </c>
      <c r="N395" s="142">
        <f t="shared" si="49"/>
        <v>172.38144000000003</v>
      </c>
      <c r="O395" s="128">
        <f t="shared" si="50"/>
        <v>47.013120000000015</v>
      </c>
      <c r="P395" s="159">
        <f t="shared" si="51"/>
        <v>172.4</v>
      </c>
      <c r="Q395" s="160">
        <f t="shared" si="52"/>
        <v>47</v>
      </c>
    </row>
    <row r="396" spans="1:17" thickTop="1" thickBot="1">
      <c r="A396" s="57" t="s">
        <v>702</v>
      </c>
      <c r="B396" s="167">
        <v>133.4</v>
      </c>
      <c r="C396" s="44" t="s">
        <v>703</v>
      </c>
      <c r="D396" s="10">
        <f>B396/50/25*150</f>
        <v>16.008000000000003</v>
      </c>
      <c r="E396" s="11">
        <v>0.3</v>
      </c>
      <c r="F396" s="27">
        <v>0.3</v>
      </c>
      <c r="G396" s="109">
        <f t="shared" si="46"/>
        <v>0.1</v>
      </c>
      <c r="H396" s="109">
        <v>0.1</v>
      </c>
      <c r="I396" s="109">
        <v>0.3</v>
      </c>
      <c r="J396" s="113">
        <f t="shared" si="47"/>
        <v>0.1</v>
      </c>
      <c r="K396" s="15"/>
      <c r="L396" s="15"/>
      <c r="M396" s="131">
        <v>0.1</v>
      </c>
      <c r="N396" s="142">
        <f t="shared" si="49"/>
        <v>49.304640000000013</v>
      </c>
      <c r="O396" s="128">
        <f t="shared" si="50"/>
        <v>16.434880000000003</v>
      </c>
      <c r="P396" s="159">
        <f t="shared" si="51"/>
        <v>49.3</v>
      </c>
      <c r="Q396" s="160">
        <f t="shared" si="52"/>
        <v>16.399999999999999</v>
      </c>
    </row>
    <row r="397" spans="1:17" ht="69" thickTop="1" thickBot="1">
      <c r="A397" s="41" t="s">
        <v>327</v>
      </c>
      <c r="B397" s="167">
        <v>14169.5</v>
      </c>
      <c r="C397" s="19" t="s">
        <v>61</v>
      </c>
      <c r="D397" s="10">
        <f>B397/28/30*30</f>
        <v>506.05357142857139</v>
      </c>
      <c r="E397" s="5">
        <v>0.35</v>
      </c>
      <c r="F397" s="100">
        <v>0.35</v>
      </c>
      <c r="G397" s="109">
        <f t="shared" si="46"/>
        <v>0.1</v>
      </c>
      <c r="H397" s="109">
        <v>0.1</v>
      </c>
      <c r="I397" s="109">
        <v>0.35</v>
      </c>
      <c r="J397" s="113">
        <f t="shared" si="47"/>
        <v>0.1</v>
      </c>
      <c r="K397" s="12" t="s">
        <v>325</v>
      </c>
      <c r="L397" s="12" t="s">
        <v>326</v>
      </c>
      <c r="M397" s="129">
        <v>0.1</v>
      </c>
      <c r="N397" s="142">
        <f t="shared" si="49"/>
        <v>6109.8884000000007</v>
      </c>
      <c r="O397" s="128">
        <f t="shared" si="50"/>
        <v>1745.6824000000004</v>
      </c>
      <c r="P397" s="159">
        <f t="shared" si="51"/>
        <v>6109.9</v>
      </c>
      <c r="Q397" s="160">
        <f t="shared" si="52"/>
        <v>1745.7</v>
      </c>
    </row>
    <row r="398" spans="1:17" ht="69" thickTop="1" thickBot="1">
      <c r="A398" s="41" t="s">
        <v>328</v>
      </c>
      <c r="B398" s="167">
        <v>14826.2</v>
      </c>
      <c r="C398" s="9" t="s">
        <v>61</v>
      </c>
      <c r="D398" s="10">
        <f>B398/28/20*20</f>
        <v>529.50714285714287</v>
      </c>
      <c r="E398" s="5">
        <v>0.35</v>
      </c>
      <c r="F398" s="100">
        <v>0.35</v>
      </c>
      <c r="G398" s="109">
        <f t="shared" si="46"/>
        <v>0.1</v>
      </c>
      <c r="H398" s="109">
        <v>0.1</v>
      </c>
      <c r="I398" s="109">
        <v>0.35</v>
      </c>
      <c r="J398" s="113">
        <f t="shared" si="47"/>
        <v>0.1</v>
      </c>
      <c r="K398" s="12" t="s">
        <v>325</v>
      </c>
      <c r="L398" s="12" t="s">
        <v>326</v>
      </c>
      <c r="M398" s="129">
        <v>0.1</v>
      </c>
      <c r="N398" s="142">
        <f t="shared" si="49"/>
        <v>6393.0574400000014</v>
      </c>
      <c r="O398" s="128">
        <f t="shared" si="50"/>
        <v>1826.5878400000004</v>
      </c>
      <c r="P398" s="159">
        <f t="shared" si="51"/>
        <v>6393.1</v>
      </c>
      <c r="Q398" s="160">
        <f t="shared" si="52"/>
        <v>1826.6</v>
      </c>
    </row>
    <row r="399" spans="1:17" ht="46.5" thickTop="1" thickBot="1">
      <c r="A399" s="12" t="s">
        <v>329</v>
      </c>
      <c r="B399" s="167">
        <v>322.3</v>
      </c>
      <c r="C399" s="9" t="s">
        <v>330</v>
      </c>
      <c r="D399" s="10">
        <f>B399/15/250*1000</f>
        <v>85.946666666666673</v>
      </c>
      <c r="E399" s="1">
        <v>0.5</v>
      </c>
      <c r="F399" s="95">
        <v>0.5</v>
      </c>
      <c r="G399" s="109">
        <f t="shared" si="46"/>
        <v>9.9999999999999978E-2</v>
      </c>
      <c r="H399" s="109">
        <v>9.9999999999999978E-2</v>
      </c>
      <c r="I399" s="109">
        <v>0.5</v>
      </c>
      <c r="J399" s="113">
        <f t="shared" si="47"/>
        <v>9.9999999999999978E-2</v>
      </c>
      <c r="K399" s="12" t="s">
        <v>331</v>
      </c>
      <c r="L399" s="12"/>
      <c r="M399" s="129">
        <v>9.9999999999999978E-2</v>
      </c>
      <c r="N399" s="142">
        <f t="shared" si="49"/>
        <v>198.53680000000006</v>
      </c>
      <c r="O399" s="128">
        <f t="shared" si="50"/>
        <v>39.707360000000001</v>
      </c>
      <c r="P399" s="159">
        <f t="shared" si="51"/>
        <v>198.5</v>
      </c>
      <c r="Q399" s="160">
        <f t="shared" si="52"/>
        <v>39.700000000000003</v>
      </c>
    </row>
    <row r="400" spans="1:17" ht="46.5" thickTop="1" thickBot="1">
      <c r="A400" s="12" t="s">
        <v>329</v>
      </c>
      <c r="B400" s="166">
        <v>762</v>
      </c>
      <c r="C400" s="10" t="s">
        <v>330</v>
      </c>
      <c r="D400" s="10">
        <f>B400/20/500*1000</f>
        <v>76.2</v>
      </c>
      <c r="E400" s="1">
        <v>0.55000000000000004</v>
      </c>
      <c r="F400" s="95">
        <v>0.55000000000000004</v>
      </c>
      <c r="G400" s="109">
        <f t="shared" si="46"/>
        <v>0.15000000000000002</v>
      </c>
      <c r="H400" s="109">
        <v>0.15000000000000002</v>
      </c>
      <c r="I400" s="109">
        <v>0.55000000000000004</v>
      </c>
      <c r="J400" s="113">
        <f t="shared" si="47"/>
        <v>0.15000000000000002</v>
      </c>
      <c r="K400" s="12" t="s">
        <v>331</v>
      </c>
      <c r="L400" s="12"/>
      <c r="M400" s="129">
        <v>0.15000000000000002</v>
      </c>
      <c r="N400" s="142">
        <f t="shared" si="49"/>
        <v>516.33120000000008</v>
      </c>
      <c r="O400" s="128">
        <f t="shared" si="50"/>
        <v>140.81760000000003</v>
      </c>
      <c r="P400" s="159">
        <f t="shared" si="51"/>
        <v>516.29999999999995</v>
      </c>
      <c r="Q400" s="160">
        <f t="shared" si="52"/>
        <v>140.80000000000001</v>
      </c>
    </row>
    <row r="401" spans="1:17" ht="46.5" thickTop="1" thickBot="1">
      <c r="A401" s="12" t="s">
        <v>332</v>
      </c>
      <c r="B401" s="166">
        <v>383</v>
      </c>
      <c r="C401" s="10" t="s">
        <v>330</v>
      </c>
      <c r="D401" s="10">
        <f>B401/14/875*1000</f>
        <v>31.26530612244898</v>
      </c>
      <c r="E401" s="1">
        <v>0.55000000000000004</v>
      </c>
      <c r="F401" s="95">
        <v>0.55000000000000004</v>
      </c>
      <c r="G401" s="109">
        <f t="shared" si="46"/>
        <v>0.15000000000000002</v>
      </c>
      <c r="H401" s="109">
        <v>0.15000000000000002</v>
      </c>
      <c r="I401" s="109">
        <v>0.55000000000000004</v>
      </c>
      <c r="J401" s="113">
        <f t="shared" si="47"/>
        <v>0.15000000000000002</v>
      </c>
      <c r="K401" s="12" t="s">
        <v>331</v>
      </c>
      <c r="L401" s="12"/>
      <c r="M401" s="129">
        <v>0.15000000000000002</v>
      </c>
      <c r="N401" s="142">
        <f t="shared" si="49"/>
        <v>259.52080000000007</v>
      </c>
      <c r="O401" s="128">
        <f t="shared" si="50"/>
        <v>70.778400000000033</v>
      </c>
      <c r="P401" s="159">
        <f t="shared" si="51"/>
        <v>259.5</v>
      </c>
      <c r="Q401" s="160">
        <f t="shared" si="52"/>
        <v>70.8</v>
      </c>
    </row>
    <row r="402" spans="1:17" ht="46.5" thickTop="1" thickBot="1">
      <c r="A402" s="12" t="s">
        <v>333</v>
      </c>
      <c r="B402" s="166">
        <v>345.1</v>
      </c>
      <c r="C402" s="10" t="s">
        <v>330</v>
      </c>
      <c r="D402" s="10">
        <f>B402/10/500*1000</f>
        <v>69.02000000000001</v>
      </c>
      <c r="E402" s="1">
        <v>0.5</v>
      </c>
      <c r="F402" s="95">
        <v>0.5</v>
      </c>
      <c r="G402" s="109">
        <f t="shared" si="46"/>
        <v>9.9999999999999978E-2</v>
      </c>
      <c r="H402" s="109">
        <v>9.9999999999999978E-2</v>
      </c>
      <c r="I402" s="109">
        <v>0.5</v>
      </c>
      <c r="J402" s="113">
        <f t="shared" si="47"/>
        <v>9.9999999999999978E-2</v>
      </c>
      <c r="K402" s="12" t="s">
        <v>331</v>
      </c>
      <c r="L402" s="12"/>
      <c r="M402" s="129">
        <v>9.9999999999999978E-2</v>
      </c>
      <c r="N402" s="142">
        <f t="shared" si="49"/>
        <v>212.58160000000004</v>
      </c>
      <c r="O402" s="128">
        <f t="shared" si="50"/>
        <v>42.516320000000007</v>
      </c>
      <c r="P402" s="159">
        <f t="shared" si="51"/>
        <v>212.6</v>
      </c>
      <c r="Q402" s="160">
        <f t="shared" si="52"/>
        <v>42.5</v>
      </c>
    </row>
    <row r="403" spans="1:17" ht="46.5" thickTop="1" thickBot="1">
      <c r="A403" s="12" t="s">
        <v>333</v>
      </c>
      <c r="B403" s="166">
        <v>273.60000000000002</v>
      </c>
      <c r="C403" s="10" t="s">
        <v>330</v>
      </c>
      <c r="D403" s="10">
        <f>B403/10/875*1000</f>
        <v>31.26857142857143</v>
      </c>
      <c r="E403" s="1">
        <v>0.55000000000000004</v>
      </c>
      <c r="F403" s="95">
        <v>0.55000000000000004</v>
      </c>
      <c r="G403" s="109">
        <f t="shared" si="46"/>
        <v>0.15000000000000002</v>
      </c>
      <c r="H403" s="109">
        <v>0.15000000000000002</v>
      </c>
      <c r="I403" s="109">
        <v>0.55000000000000004</v>
      </c>
      <c r="J403" s="113">
        <f t="shared" si="47"/>
        <v>0.15000000000000002</v>
      </c>
      <c r="K403" s="12" t="s">
        <v>331</v>
      </c>
      <c r="L403" s="12"/>
      <c r="M403" s="129">
        <v>0.15000000000000002</v>
      </c>
      <c r="N403" s="142">
        <f t="shared" si="49"/>
        <v>185.39136000000005</v>
      </c>
      <c r="O403" s="128">
        <f t="shared" si="50"/>
        <v>50.561280000000018</v>
      </c>
      <c r="P403" s="159">
        <f t="shared" si="51"/>
        <v>185.4</v>
      </c>
      <c r="Q403" s="160">
        <f t="shared" si="52"/>
        <v>50.6</v>
      </c>
    </row>
    <row r="404" spans="1:17" ht="46.5" thickTop="1" thickBot="1">
      <c r="A404" s="12" t="s">
        <v>334</v>
      </c>
      <c r="B404" s="166">
        <v>571.5</v>
      </c>
      <c r="C404" s="10" t="s">
        <v>330</v>
      </c>
      <c r="D404" s="10">
        <f>B404/15/500*1000</f>
        <v>76.2</v>
      </c>
      <c r="E404" s="1">
        <v>0.55000000000000004</v>
      </c>
      <c r="F404" s="95">
        <v>0.55000000000000004</v>
      </c>
      <c r="G404" s="109">
        <f t="shared" si="46"/>
        <v>0.15000000000000002</v>
      </c>
      <c r="H404" s="109">
        <v>0.15000000000000002</v>
      </c>
      <c r="I404" s="109">
        <v>0.55000000000000004</v>
      </c>
      <c r="J404" s="113">
        <f t="shared" si="47"/>
        <v>0.15000000000000002</v>
      </c>
      <c r="K404" s="12" t="s">
        <v>331</v>
      </c>
      <c r="L404" s="12"/>
      <c r="M404" s="129">
        <v>0.15000000000000002</v>
      </c>
      <c r="N404" s="142">
        <f t="shared" si="49"/>
        <v>387.24840000000012</v>
      </c>
      <c r="O404" s="128">
        <f t="shared" si="50"/>
        <v>105.61320000000002</v>
      </c>
      <c r="P404" s="159">
        <f t="shared" si="51"/>
        <v>387.2</v>
      </c>
      <c r="Q404" s="160">
        <f t="shared" si="52"/>
        <v>105.6</v>
      </c>
    </row>
    <row r="405" spans="1:17" ht="46.5" thickTop="1" thickBot="1">
      <c r="A405" s="12" t="s">
        <v>335</v>
      </c>
      <c r="B405" s="166">
        <v>344.2</v>
      </c>
      <c r="C405" s="10" t="s">
        <v>330</v>
      </c>
      <c r="D405" s="10">
        <f>B405/14/875*1000</f>
        <v>28.097959183673467</v>
      </c>
      <c r="E405" s="2">
        <v>0.5</v>
      </c>
      <c r="F405" s="96">
        <v>0.5</v>
      </c>
      <c r="G405" s="109">
        <f t="shared" si="46"/>
        <v>9.9999999999999978E-2</v>
      </c>
      <c r="H405" s="109">
        <v>9.9999999999999978E-2</v>
      </c>
      <c r="I405" s="109">
        <v>0.5</v>
      </c>
      <c r="J405" s="113">
        <f t="shared" si="47"/>
        <v>9.9999999999999978E-2</v>
      </c>
      <c r="K405" s="12" t="s">
        <v>331</v>
      </c>
      <c r="L405" s="12"/>
      <c r="M405" s="129">
        <v>9.9999999999999978E-2</v>
      </c>
      <c r="N405" s="142">
        <f t="shared" si="49"/>
        <v>212.02720000000002</v>
      </c>
      <c r="O405" s="128">
        <f t="shared" si="50"/>
        <v>42.405439999999999</v>
      </c>
      <c r="P405" s="159">
        <f t="shared" si="51"/>
        <v>212</v>
      </c>
      <c r="Q405" s="160">
        <f t="shared" si="52"/>
        <v>42.4</v>
      </c>
    </row>
    <row r="406" spans="1:17" ht="46.5" thickTop="1" thickBot="1">
      <c r="A406" s="12" t="s">
        <v>329</v>
      </c>
      <c r="B406" s="166">
        <v>517.70000000000005</v>
      </c>
      <c r="C406" s="27" t="s">
        <v>336</v>
      </c>
      <c r="D406" s="27">
        <f>B406/15/500*1000</f>
        <v>69.026666666666671</v>
      </c>
      <c r="E406" s="1">
        <v>0.5</v>
      </c>
      <c r="F406" s="95">
        <v>0.5</v>
      </c>
      <c r="G406" s="109">
        <f t="shared" si="46"/>
        <v>9.9999999999999978E-2</v>
      </c>
      <c r="H406" s="109">
        <v>9.9999999999999978E-2</v>
      </c>
      <c r="I406" s="109">
        <v>0.5</v>
      </c>
      <c r="J406" s="113">
        <f t="shared" si="47"/>
        <v>9.9999999999999978E-2</v>
      </c>
      <c r="K406" s="12" t="s">
        <v>331</v>
      </c>
      <c r="L406" s="12"/>
      <c r="M406" s="129">
        <v>9.9999999999999978E-2</v>
      </c>
      <c r="N406" s="142">
        <f t="shared" si="49"/>
        <v>318.90320000000008</v>
      </c>
      <c r="O406" s="128">
        <f t="shared" si="50"/>
        <v>63.780640000000005</v>
      </c>
      <c r="P406" s="159">
        <f t="shared" si="51"/>
        <v>318.89999999999998</v>
      </c>
      <c r="Q406" s="160">
        <f t="shared" si="52"/>
        <v>63.8</v>
      </c>
    </row>
    <row r="407" spans="1:17" ht="46.5" thickTop="1" thickBot="1">
      <c r="A407" s="12" t="s">
        <v>332</v>
      </c>
      <c r="B407" s="166">
        <v>273.60000000000002</v>
      </c>
      <c r="C407" s="9" t="s">
        <v>336</v>
      </c>
      <c r="D407" s="10">
        <f>B407/10/875*1000</f>
        <v>31.26857142857143</v>
      </c>
      <c r="E407" s="1">
        <v>0.55000000000000004</v>
      </c>
      <c r="F407" s="95">
        <v>0.55000000000000004</v>
      </c>
      <c r="G407" s="109">
        <f t="shared" si="46"/>
        <v>0.15000000000000002</v>
      </c>
      <c r="H407" s="109">
        <v>0.15000000000000002</v>
      </c>
      <c r="I407" s="109">
        <v>0.55000000000000004</v>
      </c>
      <c r="J407" s="113">
        <f t="shared" si="47"/>
        <v>0.15000000000000002</v>
      </c>
      <c r="K407" s="12" t="s">
        <v>331</v>
      </c>
      <c r="L407" s="12"/>
      <c r="M407" s="129">
        <v>0.15000000000000002</v>
      </c>
      <c r="N407" s="142">
        <f t="shared" si="49"/>
        <v>185.39136000000005</v>
      </c>
      <c r="O407" s="128">
        <f t="shared" si="50"/>
        <v>50.561280000000018</v>
      </c>
      <c r="P407" s="159">
        <f t="shared" si="51"/>
        <v>185.4</v>
      </c>
      <c r="Q407" s="160">
        <f t="shared" si="52"/>
        <v>50.6</v>
      </c>
    </row>
    <row r="408" spans="1:17" ht="46.5" thickTop="1" thickBot="1">
      <c r="A408" s="61" t="s">
        <v>337</v>
      </c>
      <c r="B408" s="166">
        <v>384.5</v>
      </c>
      <c r="C408" s="34" t="s">
        <v>40</v>
      </c>
      <c r="D408" s="34">
        <f>B408/16/500*2000</f>
        <v>96.125</v>
      </c>
      <c r="E408" s="11">
        <v>0.4</v>
      </c>
      <c r="F408" s="27">
        <v>0.4</v>
      </c>
      <c r="G408" s="109">
        <f t="shared" si="46"/>
        <v>0.1</v>
      </c>
      <c r="H408" s="109">
        <v>0.1</v>
      </c>
      <c r="I408" s="109">
        <v>0.4</v>
      </c>
      <c r="J408" s="113">
        <f t="shared" si="47"/>
        <v>0.1</v>
      </c>
      <c r="K408" s="15" t="s">
        <v>338</v>
      </c>
      <c r="L408" s="12"/>
      <c r="M408" s="129">
        <v>0.1</v>
      </c>
      <c r="N408" s="142">
        <f t="shared" si="49"/>
        <v>189.48160000000004</v>
      </c>
      <c r="O408" s="128">
        <f t="shared" si="50"/>
        <v>47.370400000000011</v>
      </c>
      <c r="P408" s="159">
        <f t="shared" si="51"/>
        <v>189.5</v>
      </c>
      <c r="Q408" s="160">
        <f t="shared" si="52"/>
        <v>47.4</v>
      </c>
    </row>
    <row r="409" spans="1:17" ht="57.75" thickTop="1" thickBot="1">
      <c r="A409" s="12" t="s">
        <v>339</v>
      </c>
      <c r="B409" s="166">
        <v>291.8</v>
      </c>
      <c r="C409" s="10" t="s">
        <v>340</v>
      </c>
      <c r="D409" s="10">
        <f>B409/10/250*500</f>
        <v>58.36</v>
      </c>
      <c r="E409" s="1">
        <v>0.5</v>
      </c>
      <c r="F409" s="95">
        <v>0.5</v>
      </c>
      <c r="G409" s="109">
        <f t="shared" si="46"/>
        <v>9.9999999999999978E-2</v>
      </c>
      <c r="H409" s="109">
        <v>9.9999999999999978E-2</v>
      </c>
      <c r="I409" s="109">
        <v>0.5</v>
      </c>
      <c r="J409" s="113">
        <f t="shared" si="47"/>
        <v>9.9999999999999978E-2</v>
      </c>
      <c r="K409" s="12" t="s">
        <v>341</v>
      </c>
      <c r="L409" s="12"/>
      <c r="M409" s="129">
        <v>9.9999999999999978E-2</v>
      </c>
      <c r="N409" s="142">
        <f t="shared" si="49"/>
        <v>179.74880000000005</v>
      </c>
      <c r="O409" s="128">
        <f t="shared" si="50"/>
        <v>35.949759999999998</v>
      </c>
      <c r="P409" s="159">
        <f t="shared" si="51"/>
        <v>179.7</v>
      </c>
      <c r="Q409" s="160">
        <f t="shared" si="52"/>
        <v>35.9</v>
      </c>
    </row>
    <row r="410" spans="1:17" ht="57.75" thickTop="1" thickBot="1">
      <c r="A410" s="12" t="s">
        <v>339</v>
      </c>
      <c r="B410" s="166">
        <v>409.1</v>
      </c>
      <c r="C410" s="10" t="s">
        <v>340</v>
      </c>
      <c r="D410" s="10">
        <f>B410/10/500*500</f>
        <v>40.910000000000004</v>
      </c>
      <c r="E410" s="1">
        <v>0.5</v>
      </c>
      <c r="F410" s="95">
        <v>0.5</v>
      </c>
      <c r="G410" s="109">
        <f t="shared" si="46"/>
        <v>9.9999999999999978E-2</v>
      </c>
      <c r="H410" s="109">
        <v>9.9999999999999978E-2</v>
      </c>
      <c r="I410" s="109">
        <v>0.5</v>
      </c>
      <c r="J410" s="113">
        <f t="shared" si="47"/>
        <v>9.9999999999999978E-2</v>
      </c>
      <c r="K410" s="12" t="s">
        <v>341</v>
      </c>
      <c r="L410" s="12"/>
      <c r="M410" s="129">
        <v>9.9999999999999978E-2</v>
      </c>
      <c r="N410" s="142">
        <f t="shared" si="49"/>
        <v>252.00560000000004</v>
      </c>
      <c r="O410" s="128">
        <f t="shared" si="50"/>
        <v>50.401120000000006</v>
      </c>
      <c r="P410" s="159">
        <f t="shared" si="51"/>
        <v>252</v>
      </c>
      <c r="Q410" s="160">
        <f t="shared" si="52"/>
        <v>50.4</v>
      </c>
    </row>
    <row r="411" spans="1:17" ht="57.75" thickTop="1" thickBot="1">
      <c r="A411" s="12" t="s">
        <v>342</v>
      </c>
      <c r="B411" s="166">
        <v>638.5</v>
      </c>
      <c r="C411" s="10" t="s">
        <v>340</v>
      </c>
      <c r="D411" s="10">
        <f>B411/14/500*500</f>
        <v>45.607142857142854</v>
      </c>
      <c r="E411" s="1">
        <v>0.55000000000000004</v>
      </c>
      <c r="F411" s="95">
        <v>0.55000000000000004</v>
      </c>
      <c r="G411" s="109">
        <f t="shared" si="46"/>
        <v>0.15000000000000002</v>
      </c>
      <c r="H411" s="109">
        <v>0.15000000000000002</v>
      </c>
      <c r="I411" s="109">
        <v>0.55000000000000004</v>
      </c>
      <c r="J411" s="113">
        <f t="shared" si="47"/>
        <v>0.15000000000000002</v>
      </c>
      <c r="K411" s="12" t="s">
        <v>341</v>
      </c>
      <c r="L411" s="12"/>
      <c r="M411" s="129">
        <v>0.15000000000000002</v>
      </c>
      <c r="N411" s="142">
        <f t="shared" si="49"/>
        <v>432.64760000000007</v>
      </c>
      <c r="O411" s="128">
        <f t="shared" si="50"/>
        <v>117.99480000000004</v>
      </c>
      <c r="P411" s="159">
        <f t="shared" si="51"/>
        <v>432.6</v>
      </c>
      <c r="Q411" s="160">
        <f t="shared" si="52"/>
        <v>118</v>
      </c>
    </row>
    <row r="412" spans="1:17" ht="57.75" thickTop="1" thickBot="1">
      <c r="A412" s="12" t="s">
        <v>343</v>
      </c>
      <c r="B412" s="166">
        <v>409.1</v>
      </c>
      <c r="C412" s="10" t="s">
        <v>344</v>
      </c>
      <c r="D412" s="10">
        <f>B412/10/500*500</f>
        <v>40.910000000000004</v>
      </c>
      <c r="E412" s="1">
        <v>0.5</v>
      </c>
      <c r="F412" s="95">
        <v>0.5</v>
      </c>
      <c r="G412" s="109">
        <f t="shared" si="46"/>
        <v>9.9999999999999978E-2</v>
      </c>
      <c r="H412" s="109">
        <v>9.9999999999999978E-2</v>
      </c>
      <c r="I412" s="109">
        <v>0.5</v>
      </c>
      <c r="J412" s="113">
        <f t="shared" si="47"/>
        <v>9.9999999999999978E-2</v>
      </c>
      <c r="K412" s="12" t="s">
        <v>341</v>
      </c>
      <c r="L412" s="12"/>
      <c r="M412" s="129">
        <v>9.9999999999999978E-2</v>
      </c>
      <c r="N412" s="142">
        <f t="shared" si="49"/>
        <v>252.00560000000004</v>
      </c>
      <c r="O412" s="128">
        <f t="shared" si="50"/>
        <v>50.401120000000006</v>
      </c>
      <c r="P412" s="159">
        <f t="shared" si="51"/>
        <v>252</v>
      </c>
      <c r="Q412" s="160">
        <f t="shared" si="52"/>
        <v>50.4</v>
      </c>
    </row>
    <row r="413" spans="1:17" ht="57.75" thickTop="1" thickBot="1">
      <c r="A413" s="12" t="s">
        <v>345</v>
      </c>
      <c r="B413" s="166">
        <v>644.20000000000005</v>
      </c>
      <c r="C413" s="10" t="s">
        <v>330</v>
      </c>
      <c r="D413" s="10">
        <f>B413/10/500*1000</f>
        <v>128.84</v>
      </c>
      <c r="E413" s="11">
        <v>0.85</v>
      </c>
      <c r="F413" s="27">
        <v>0.85</v>
      </c>
      <c r="G413" s="109">
        <f t="shared" si="46"/>
        <v>0.44999999999999996</v>
      </c>
      <c r="H413" s="109">
        <v>0.44999999999999996</v>
      </c>
      <c r="I413" s="109">
        <v>0.85</v>
      </c>
      <c r="J413" s="113">
        <f t="shared" si="47"/>
        <v>0.44999999999999996</v>
      </c>
      <c r="K413" s="12" t="s">
        <v>346</v>
      </c>
      <c r="L413" s="12"/>
      <c r="M413" s="129">
        <v>0.44999999999999996</v>
      </c>
      <c r="N413" s="142">
        <f t="shared" si="49"/>
        <v>674.60624000000018</v>
      </c>
      <c r="O413" s="128">
        <f t="shared" si="50"/>
        <v>357.14448000000004</v>
      </c>
      <c r="P413" s="159">
        <f t="shared" si="51"/>
        <v>674.6</v>
      </c>
      <c r="Q413" s="160">
        <f t="shared" si="52"/>
        <v>357.1</v>
      </c>
    </row>
    <row r="414" spans="1:17" ht="57.75" thickTop="1" thickBot="1">
      <c r="A414" s="57" t="s">
        <v>697</v>
      </c>
      <c r="B414" s="166">
        <v>450.9</v>
      </c>
      <c r="C414" s="44" t="s">
        <v>330</v>
      </c>
      <c r="D414" s="82">
        <f>+B414/(10*500)*1000</f>
        <v>90.179999999999993</v>
      </c>
      <c r="E414" s="11">
        <v>0.8</v>
      </c>
      <c r="F414" s="27">
        <v>0.8</v>
      </c>
      <c r="G414" s="109">
        <f t="shared" si="46"/>
        <v>0.4</v>
      </c>
      <c r="H414" s="109">
        <v>0.4</v>
      </c>
      <c r="I414" s="109">
        <v>0.8</v>
      </c>
      <c r="J414" s="113">
        <f t="shared" si="47"/>
        <v>0.4</v>
      </c>
      <c r="K414" s="12" t="s">
        <v>346</v>
      </c>
      <c r="L414" s="12"/>
      <c r="M414" s="129">
        <v>0.4</v>
      </c>
      <c r="N414" s="142">
        <f t="shared" si="49"/>
        <v>444.40704000000011</v>
      </c>
      <c r="O414" s="128">
        <f t="shared" si="50"/>
        <v>222.20352000000005</v>
      </c>
      <c r="P414" s="159">
        <f t="shared" si="51"/>
        <v>444.4</v>
      </c>
      <c r="Q414" s="160">
        <f t="shared" si="52"/>
        <v>222.2</v>
      </c>
    </row>
    <row r="415" spans="1:17" ht="46.5" thickTop="1" thickBot="1">
      <c r="A415" s="12" t="s">
        <v>347</v>
      </c>
      <c r="B415" s="166">
        <v>855</v>
      </c>
      <c r="C415" s="10" t="s">
        <v>348</v>
      </c>
      <c r="D415" s="10">
        <f>B415/10/400*400</f>
        <v>85.5</v>
      </c>
      <c r="E415" s="11">
        <v>0.7</v>
      </c>
      <c r="F415" s="27">
        <v>0.7</v>
      </c>
      <c r="G415" s="109">
        <f t="shared" si="46"/>
        <v>0.29999999999999993</v>
      </c>
      <c r="H415" s="109">
        <v>0.29999999999999993</v>
      </c>
      <c r="I415" s="109">
        <v>0.7</v>
      </c>
      <c r="J415" s="113">
        <f t="shared" si="47"/>
        <v>0.29999999999999993</v>
      </c>
      <c r="K415" s="12" t="s">
        <v>349</v>
      </c>
      <c r="L415" s="12"/>
      <c r="M415" s="129">
        <v>0.29999999999999993</v>
      </c>
      <c r="N415" s="142">
        <f t="shared" si="49"/>
        <v>737.35200000000009</v>
      </c>
      <c r="O415" s="128">
        <f t="shared" si="50"/>
        <v>316.00799999999998</v>
      </c>
      <c r="P415" s="159">
        <f t="shared" si="51"/>
        <v>737.4</v>
      </c>
      <c r="Q415" s="160">
        <f t="shared" si="52"/>
        <v>316</v>
      </c>
    </row>
    <row r="416" spans="1:17" ht="46.5" thickTop="1" thickBot="1">
      <c r="A416" s="12" t="s">
        <v>347</v>
      </c>
      <c r="B416" s="166">
        <v>427.5</v>
      </c>
      <c r="C416" s="10" t="s">
        <v>348</v>
      </c>
      <c r="D416" s="10">
        <f>B416/5/400*400</f>
        <v>85.5</v>
      </c>
      <c r="E416" s="11">
        <v>0.7</v>
      </c>
      <c r="F416" s="27">
        <v>0.7</v>
      </c>
      <c r="G416" s="109">
        <f t="shared" si="46"/>
        <v>0.29999999999999993</v>
      </c>
      <c r="H416" s="109">
        <v>0.29999999999999993</v>
      </c>
      <c r="I416" s="109">
        <v>0.7</v>
      </c>
      <c r="J416" s="113">
        <f t="shared" si="47"/>
        <v>0.29999999999999993</v>
      </c>
      <c r="K416" s="12" t="s">
        <v>349</v>
      </c>
      <c r="L416" s="12"/>
      <c r="M416" s="129">
        <v>0.29999999999999993</v>
      </c>
      <c r="N416" s="142">
        <f t="shared" si="49"/>
        <v>368.67600000000004</v>
      </c>
      <c r="O416" s="128">
        <f t="shared" si="50"/>
        <v>158.00399999999999</v>
      </c>
      <c r="P416" s="159">
        <f t="shared" si="51"/>
        <v>368.7</v>
      </c>
      <c r="Q416" s="160">
        <f t="shared" si="52"/>
        <v>158</v>
      </c>
    </row>
    <row r="417" spans="1:17" ht="46.5" thickTop="1" thickBot="1">
      <c r="A417" s="15" t="s">
        <v>350</v>
      </c>
      <c r="B417" s="167">
        <v>855</v>
      </c>
      <c r="C417" s="50" t="s">
        <v>348</v>
      </c>
      <c r="D417" s="10">
        <f>B417/10/400*400</f>
        <v>85.5</v>
      </c>
      <c r="E417" s="11">
        <v>0.7</v>
      </c>
      <c r="F417" s="27">
        <v>0.7</v>
      </c>
      <c r="G417" s="109">
        <f t="shared" si="46"/>
        <v>0.29999999999999993</v>
      </c>
      <c r="H417" s="109">
        <v>0.29999999999999993</v>
      </c>
      <c r="I417" s="109">
        <v>0.7</v>
      </c>
      <c r="J417" s="113">
        <f t="shared" si="47"/>
        <v>0.29999999999999993</v>
      </c>
      <c r="K417" s="12" t="s">
        <v>349</v>
      </c>
      <c r="L417" s="12"/>
      <c r="M417" s="129">
        <v>0.29999999999999993</v>
      </c>
      <c r="N417" s="142">
        <f t="shared" si="49"/>
        <v>737.35200000000009</v>
      </c>
      <c r="O417" s="128">
        <f t="shared" si="50"/>
        <v>316.00799999999998</v>
      </c>
      <c r="P417" s="159">
        <f t="shared" si="51"/>
        <v>737.4</v>
      </c>
      <c r="Q417" s="160">
        <f t="shared" si="52"/>
        <v>316</v>
      </c>
    </row>
    <row r="418" spans="1:17" ht="46.5" thickTop="1" thickBot="1">
      <c r="A418" s="12" t="s">
        <v>351</v>
      </c>
      <c r="B418" s="166">
        <v>312.60000000000002</v>
      </c>
      <c r="C418" s="10" t="s">
        <v>348</v>
      </c>
      <c r="D418" s="10">
        <f>B418/10/100*400</f>
        <v>125.03999999999999</v>
      </c>
      <c r="E418" s="1">
        <v>0.65</v>
      </c>
      <c r="F418" s="95">
        <v>0.65</v>
      </c>
      <c r="G418" s="109">
        <f t="shared" si="46"/>
        <v>0.25</v>
      </c>
      <c r="H418" s="109">
        <v>0.25</v>
      </c>
      <c r="I418" s="109">
        <v>0.65</v>
      </c>
      <c r="J418" s="113">
        <f t="shared" si="47"/>
        <v>0.25</v>
      </c>
      <c r="K418" s="12" t="s">
        <v>352</v>
      </c>
      <c r="L418" s="12"/>
      <c r="M418" s="129">
        <v>0.25</v>
      </c>
      <c r="N418" s="142">
        <f t="shared" si="49"/>
        <v>250.33008000000009</v>
      </c>
      <c r="O418" s="128">
        <f t="shared" si="50"/>
        <v>96.280800000000028</v>
      </c>
      <c r="P418" s="159">
        <f t="shared" si="51"/>
        <v>250.3</v>
      </c>
      <c r="Q418" s="160">
        <f t="shared" si="52"/>
        <v>96.3</v>
      </c>
    </row>
    <row r="419" spans="1:17" ht="46.5" thickTop="1" thickBot="1">
      <c r="A419" s="12" t="s">
        <v>351</v>
      </c>
      <c r="B419" s="166">
        <v>625.4</v>
      </c>
      <c r="C419" s="10" t="s">
        <v>348</v>
      </c>
      <c r="D419" s="10">
        <f>B419/10/200*400</f>
        <v>125.07999999999998</v>
      </c>
      <c r="E419" s="1">
        <v>0.65</v>
      </c>
      <c r="F419" s="95">
        <v>0.65</v>
      </c>
      <c r="G419" s="109">
        <f t="shared" si="46"/>
        <v>0.25</v>
      </c>
      <c r="H419" s="109">
        <v>0.25</v>
      </c>
      <c r="I419" s="109">
        <v>0.65</v>
      </c>
      <c r="J419" s="113">
        <f t="shared" si="47"/>
        <v>0.25</v>
      </c>
      <c r="K419" s="12" t="s">
        <v>352</v>
      </c>
      <c r="L419" s="12"/>
      <c r="M419" s="129">
        <v>0.25</v>
      </c>
      <c r="N419" s="142">
        <f t="shared" si="49"/>
        <v>500.82032000000009</v>
      </c>
      <c r="O419" s="128">
        <f t="shared" si="50"/>
        <v>192.62320000000005</v>
      </c>
      <c r="P419" s="159">
        <f t="shared" si="51"/>
        <v>500.8</v>
      </c>
      <c r="Q419" s="160">
        <f t="shared" si="52"/>
        <v>192.6</v>
      </c>
    </row>
    <row r="420" spans="1:17" ht="57.75" thickTop="1" thickBot="1">
      <c r="A420" s="12" t="s">
        <v>353</v>
      </c>
      <c r="B420" s="166">
        <v>408.4</v>
      </c>
      <c r="C420" s="10" t="s">
        <v>354</v>
      </c>
      <c r="D420" s="10">
        <f>B420/10/150*300</f>
        <v>81.679999999999993</v>
      </c>
      <c r="E420" s="1">
        <v>0.5</v>
      </c>
      <c r="F420" s="95">
        <v>0.5</v>
      </c>
      <c r="G420" s="109">
        <f t="shared" si="46"/>
        <v>9.9999999999999978E-2</v>
      </c>
      <c r="H420" s="109">
        <v>9.9999999999999978E-2</v>
      </c>
      <c r="I420" s="109">
        <v>0.5</v>
      </c>
      <c r="J420" s="113">
        <f t="shared" si="47"/>
        <v>9.9999999999999978E-2</v>
      </c>
      <c r="K420" s="12" t="s">
        <v>355</v>
      </c>
      <c r="L420" s="12"/>
      <c r="M420" s="129">
        <v>9.9999999999999978E-2</v>
      </c>
      <c r="N420" s="142">
        <f t="shared" si="49"/>
        <v>251.57440000000003</v>
      </c>
      <c r="O420" s="128">
        <f t="shared" si="50"/>
        <v>50.314879999999995</v>
      </c>
      <c r="P420" s="159">
        <f t="shared" si="51"/>
        <v>251.6</v>
      </c>
      <c r="Q420" s="160">
        <f t="shared" si="52"/>
        <v>50.3</v>
      </c>
    </row>
    <row r="421" spans="1:17" ht="80.25" thickTop="1" thickBot="1">
      <c r="A421" s="12" t="s">
        <v>356</v>
      </c>
      <c r="B421" s="166">
        <v>352.6</v>
      </c>
      <c r="C421" s="10" t="s">
        <v>340</v>
      </c>
      <c r="D421" s="10">
        <f>B421/14/500*500</f>
        <v>25.185714285714287</v>
      </c>
      <c r="E421" s="1">
        <v>0.55000000000000004</v>
      </c>
      <c r="F421" s="95">
        <v>0.55000000000000004</v>
      </c>
      <c r="G421" s="109">
        <f t="shared" si="46"/>
        <v>0.15000000000000002</v>
      </c>
      <c r="H421" s="109">
        <v>0.15000000000000002</v>
      </c>
      <c r="I421" s="109">
        <v>0.55000000000000004</v>
      </c>
      <c r="J421" s="113">
        <f t="shared" si="47"/>
        <v>0.15000000000000002</v>
      </c>
      <c r="K421" s="12" t="s">
        <v>357</v>
      </c>
      <c r="L421" s="12"/>
      <c r="M421" s="129">
        <v>0.15000000000000002</v>
      </c>
      <c r="N421" s="142">
        <f t="shared" si="49"/>
        <v>238.92176000000009</v>
      </c>
      <c r="O421" s="128">
        <f t="shared" si="50"/>
        <v>65.160480000000035</v>
      </c>
      <c r="P421" s="159">
        <f t="shared" si="51"/>
        <v>238.9</v>
      </c>
      <c r="Q421" s="160">
        <f t="shared" si="52"/>
        <v>65.2</v>
      </c>
    </row>
    <row r="422" spans="1:17" ht="80.25" thickTop="1" thickBot="1">
      <c r="A422" s="12" t="s">
        <v>358</v>
      </c>
      <c r="B422" s="166">
        <v>195.7</v>
      </c>
      <c r="C422" s="10" t="s">
        <v>340</v>
      </c>
      <c r="D422" s="10">
        <f>B422/7/500*500</f>
        <v>27.957142857142856</v>
      </c>
      <c r="E422" s="1">
        <v>0.55000000000000004</v>
      </c>
      <c r="F422" s="95">
        <v>0.55000000000000004</v>
      </c>
      <c r="G422" s="109">
        <f t="shared" si="46"/>
        <v>0.15000000000000002</v>
      </c>
      <c r="H422" s="109">
        <v>0.15000000000000002</v>
      </c>
      <c r="I422" s="109">
        <v>0.55000000000000004</v>
      </c>
      <c r="J422" s="113">
        <f t="shared" si="47"/>
        <v>0.15000000000000002</v>
      </c>
      <c r="K422" s="12" t="s">
        <v>357</v>
      </c>
      <c r="L422" s="12"/>
      <c r="M422" s="129">
        <v>0.15000000000000002</v>
      </c>
      <c r="N422" s="142">
        <f t="shared" si="49"/>
        <v>132.60632000000004</v>
      </c>
      <c r="O422" s="128">
        <f t="shared" si="50"/>
        <v>36.165360000000014</v>
      </c>
      <c r="P422" s="159">
        <f t="shared" si="51"/>
        <v>132.6</v>
      </c>
      <c r="Q422" s="160">
        <f t="shared" si="52"/>
        <v>36.200000000000003</v>
      </c>
    </row>
    <row r="423" spans="1:17" ht="80.25" thickTop="1" thickBot="1">
      <c r="A423" s="12" t="s">
        <v>358</v>
      </c>
      <c r="B423" s="166">
        <v>391.4</v>
      </c>
      <c r="C423" s="10" t="s">
        <v>340</v>
      </c>
      <c r="D423" s="10">
        <f>B423/14/500*500</f>
        <v>27.957142857142856</v>
      </c>
      <c r="E423" s="1">
        <v>0.55000000000000004</v>
      </c>
      <c r="F423" s="95">
        <v>0.55000000000000004</v>
      </c>
      <c r="G423" s="109">
        <f t="shared" si="46"/>
        <v>0.15000000000000002</v>
      </c>
      <c r="H423" s="109">
        <v>0.15000000000000002</v>
      </c>
      <c r="I423" s="109">
        <v>0.55000000000000004</v>
      </c>
      <c r="J423" s="113">
        <f t="shared" si="47"/>
        <v>0.15000000000000002</v>
      </c>
      <c r="K423" s="12" t="s">
        <v>357</v>
      </c>
      <c r="L423" s="12"/>
      <c r="M423" s="129">
        <v>0.15000000000000002</v>
      </c>
      <c r="N423" s="142">
        <f t="shared" si="49"/>
        <v>265.21264000000008</v>
      </c>
      <c r="O423" s="128">
        <f t="shared" si="50"/>
        <v>72.330720000000028</v>
      </c>
      <c r="P423" s="159">
        <f t="shared" si="51"/>
        <v>265.2</v>
      </c>
      <c r="Q423" s="160">
        <f t="shared" si="52"/>
        <v>72.3</v>
      </c>
    </row>
    <row r="424" spans="1:17" ht="80.25" thickTop="1" thickBot="1">
      <c r="A424" s="12" t="s">
        <v>359</v>
      </c>
      <c r="B424" s="166">
        <v>885</v>
      </c>
      <c r="C424" s="10" t="s">
        <v>340</v>
      </c>
      <c r="D424" s="10">
        <f>B424/14/500*500</f>
        <v>63.214285714285708</v>
      </c>
      <c r="E424" s="1">
        <v>0.85</v>
      </c>
      <c r="F424" s="95">
        <v>0.85</v>
      </c>
      <c r="G424" s="109">
        <f t="shared" si="46"/>
        <v>0.44999999999999996</v>
      </c>
      <c r="H424" s="109">
        <v>0.44999999999999996</v>
      </c>
      <c r="I424" s="109">
        <v>0.85</v>
      </c>
      <c r="J424" s="113">
        <f t="shared" si="47"/>
        <v>0.44999999999999996</v>
      </c>
      <c r="K424" s="12" t="s">
        <v>357</v>
      </c>
      <c r="L424" s="12"/>
      <c r="M424" s="129">
        <v>0.44999999999999996</v>
      </c>
      <c r="N424" s="142">
        <f t="shared" si="49"/>
        <v>926.77200000000016</v>
      </c>
      <c r="O424" s="128">
        <f t="shared" si="50"/>
        <v>490.64400000000001</v>
      </c>
      <c r="P424" s="159">
        <f t="shared" si="51"/>
        <v>926.8</v>
      </c>
      <c r="Q424" s="160">
        <f t="shared" si="52"/>
        <v>490.6</v>
      </c>
    </row>
    <row r="425" spans="1:17" ht="80.25" thickTop="1" thickBot="1">
      <c r="A425" s="12" t="s">
        <v>360</v>
      </c>
      <c r="B425" s="166">
        <v>685</v>
      </c>
      <c r="C425" s="10" t="s">
        <v>340</v>
      </c>
      <c r="D425" s="10">
        <f>B425/7/500*500</f>
        <v>97.857142857142861</v>
      </c>
      <c r="E425" s="1">
        <v>0.9</v>
      </c>
      <c r="F425" s="95">
        <v>0.9</v>
      </c>
      <c r="G425" s="109">
        <f t="shared" si="46"/>
        <v>0.5</v>
      </c>
      <c r="H425" s="109">
        <v>0.5</v>
      </c>
      <c r="I425" s="109">
        <v>0.9</v>
      </c>
      <c r="J425" s="113">
        <f t="shared" si="47"/>
        <v>0.5</v>
      </c>
      <c r="K425" s="12" t="s">
        <v>357</v>
      </c>
      <c r="L425" s="12"/>
      <c r="M425" s="129">
        <v>0.5</v>
      </c>
      <c r="N425" s="142">
        <f t="shared" si="49"/>
        <v>759.52800000000013</v>
      </c>
      <c r="O425" s="128">
        <f t="shared" si="50"/>
        <v>421.96000000000004</v>
      </c>
      <c r="P425" s="159">
        <f t="shared" si="51"/>
        <v>759.5</v>
      </c>
      <c r="Q425" s="160">
        <f t="shared" si="52"/>
        <v>422</v>
      </c>
    </row>
    <row r="426" spans="1:17" ht="80.25" thickTop="1" thickBot="1">
      <c r="A426" s="12" t="s">
        <v>361</v>
      </c>
      <c r="B426" s="166">
        <v>200.7</v>
      </c>
      <c r="C426" s="10" t="s">
        <v>354</v>
      </c>
      <c r="D426" s="10">
        <f>B426/6/250*300</f>
        <v>40.139999999999993</v>
      </c>
      <c r="E426" s="1">
        <v>0.8</v>
      </c>
      <c r="F426" s="95">
        <v>0.8</v>
      </c>
      <c r="G426" s="109">
        <f t="shared" si="46"/>
        <v>0.4</v>
      </c>
      <c r="H426" s="109">
        <v>0.4</v>
      </c>
      <c r="I426" s="109">
        <v>0.8</v>
      </c>
      <c r="J426" s="113">
        <f t="shared" si="47"/>
        <v>0.4</v>
      </c>
      <c r="K426" s="12" t="s">
        <v>362</v>
      </c>
      <c r="L426" s="12"/>
      <c r="M426" s="129">
        <v>0.4</v>
      </c>
      <c r="N426" s="142">
        <f t="shared" si="49"/>
        <v>197.80992000000006</v>
      </c>
      <c r="O426" s="128">
        <f t="shared" si="50"/>
        <v>98.904960000000031</v>
      </c>
      <c r="P426" s="159">
        <f t="shared" si="51"/>
        <v>197.8</v>
      </c>
      <c r="Q426" s="160">
        <f t="shared" si="52"/>
        <v>98.9</v>
      </c>
    </row>
    <row r="427" spans="1:17" ht="80.25" thickTop="1" thickBot="1">
      <c r="A427" s="12" t="s">
        <v>361</v>
      </c>
      <c r="B427" s="166">
        <v>186.6</v>
      </c>
      <c r="C427" s="10" t="s">
        <v>354</v>
      </c>
      <c r="D427" s="27">
        <f>B427/3/500*300</f>
        <v>37.32</v>
      </c>
      <c r="E427" s="1">
        <v>0.8</v>
      </c>
      <c r="F427" s="95">
        <v>0.8</v>
      </c>
      <c r="G427" s="109">
        <f t="shared" si="46"/>
        <v>0.4</v>
      </c>
      <c r="H427" s="109">
        <v>0.4</v>
      </c>
      <c r="I427" s="109">
        <v>0.8</v>
      </c>
      <c r="J427" s="113">
        <f t="shared" si="47"/>
        <v>0.4</v>
      </c>
      <c r="K427" s="12" t="s">
        <v>362</v>
      </c>
      <c r="L427" s="12"/>
      <c r="M427" s="129">
        <v>0.4</v>
      </c>
      <c r="N427" s="142">
        <f t="shared" si="49"/>
        <v>183.91296000000003</v>
      </c>
      <c r="O427" s="128">
        <f t="shared" si="50"/>
        <v>91.956480000000013</v>
      </c>
      <c r="P427" s="159">
        <f t="shared" si="51"/>
        <v>183.9</v>
      </c>
      <c r="Q427" s="160">
        <f t="shared" si="52"/>
        <v>92</v>
      </c>
    </row>
    <row r="428" spans="1:17" ht="80.25" thickTop="1" thickBot="1">
      <c r="A428" s="12" t="s">
        <v>363</v>
      </c>
      <c r="B428" s="166">
        <v>200.7</v>
      </c>
      <c r="C428" s="10" t="s">
        <v>354</v>
      </c>
      <c r="D428" s="10">
        <f>B428/6/250*300</f>
        <v>40.139999999999993</v>
      </c>
      <c r="E428" s="1">
        <v>0.8</v>
      </c>
      <c r="F428" s="95">
        <v>0.8</v>
      </c>
      <c r="G428" s="109">
        <f t="shared" si="46"/>
        <v>0.4</v>
      </c>
      <c r="H428" s="109">
        <v>0.4</v>
      </c>
      <c r="I428" s="109">
        <v>0.8</v>
      </c>
      <c r="J428" s="113">
        <f t="shared" si="47"/>
        <v>0.4</v>
      </c>
      <c r="K428" s="12" t="s">
        <v>362</v>
      </c>
      <c r="L428" s="12"/>
      <c r="M428" s="129">
        <v>0.4</v>
      </c>
      <c r="N428" s="142">
        <f t="shared" si="49"/>
        <v>197.80992000000006</v>
      </c>
      <c r="O428" s="128">
        <f t="shared" si="50"/>
        <v>98.904960000000031</v>
      </c>
      <c r="P428" s="159">
        <f t="shared" si="51"/>
        <v>197.8</v>
      </c>
      <c r="Q428" s="160">
        <f t="shared" si="52"/>
        <v>98.9</v>
      </c>
    </row>
    <row r="429" spans="1:17" ht="80.25" thickTop="1" thickBot="1">
      <c r="A429" s="12" t="s">
        <v>364</v>
      </c>
      <c r="B429" s="166">
        <v>186.6</v>
      </c>
      <c r="C429" s="10" t="s">
        <v>354</v>
      </c>
      <c r="D429" s="10">
        <f>B429/3/500*300</f>
        <v>37.32</v>
      </c>
      <c r="E429" s="1">
        <v>0.8</v>
      </c>
      <c r="F429" s="95">
        <v>0.8</v>
      </c>
      <c r="G429" s="109">
        <f t="shared" si="46"/>
        <v>0.4</v>
      </c>
      <c r="H429" s="109">
        <v>0.4</v>
      </c>
      <c r="I429" s="109">
        <v>0.8</v>
      </c>
      <c r="J429" s="113">
        <f t="shared" si="47"/>
        <v>0.4</v>
      </c>
      <c r="K429" s="12" t="s">
        <v>362</v>
      </c>
      <c r="L429" s="12"/>
      <c r="M429" s="129">
        <v>0.4</v>
      </c>
      <c r="N429" s="142">
        <f t="shared" si="49"/>
        <v>183.91296000000003</v>
      </c>
      <c r="O429" s="128">
        <f t="shared" si="50"/>
        <v>91.956480000000013</v>
      </c>
      <c r="P429" s="159">
        <f t="shared" si="51"/>
        <v>183.9</v>
      </c>
      <c r="Q429" s="160">
        <f t="shared" si="52"/>
        <v>92</v>
      </c>
    </row>
    <row r="430" spans="1:17" ht="80.25" thickTop="1" thickBot="1">
      <c r="A430" s="12" t="s">
        <v>365</v>
      </c>
      <c r="B430" s="166">
        <v>169</v>
      </c>
      <c r="C430" s="10" t="s">
        <v>354</v>
      </c>
      <c r="D430" s="10">
        <f>B430/3/500*300</f>
        <v>33.799999999999997</v>
      </c>
      <c r="E430" s="1">
        <v>0.8</v>
      </c>
      <c r="F430" s="95">
        <v>0.8</v>
      </c>
      <c r="G430" s="109">
        <f t="shared" si="46"/>
        <v>0.4</v>
      </c>
      <c r="H430" s="109">
        <v>0.4</v>
      </c>
      <c r="I430" s="109">
        <v>0.8</v>
      </c>
      <c r="J430" s="113">
        <f t="shared" si="47"/>
        <v>0.4</v>
      </c>
      <c r="K430" s="12" t="s">
        <v>362</v>
      </c>
      <c r="L430" s="12"/>
      <c r="M430" s="129">
        <v>0.4</v>
      </c>
      <c r="N430" s="142">
        <f t="shared" si="49"/>
        <v>166.56640000000004</v>
      </c>
      <c r="O430" s="128">
        <f t="shared" si="50"/>
        <v>83.283200000000022</v>
      </c>
      <c r="P430" s="159">
        <f t="shared" si="51"/>
        <v>166.6</v>
      </c>
      <c r="Q430" s="160">
        <f t="shared" si="52"/>
        <v>83.3</v>
      </c>
    </row>
    <row r="431" spans="1:17" ht="80.25" thickTop="1" thickBot="1">
      <c r="A431" s="12" t="s">
        <v>366</v>
      </c>
      <c r="B431" s="167">
        <v>169</v>
      </c>
      <c r="C431" s="10" t="s">
        <v>354</v>
      </c>
      <c r="D431" s="10">
        <f>B431/3/500*300</f>
        <v>33.799999999999997</v>
      </c>
      <c r="E431" s="1">
        <v>0.8</v>
      </c>
      <c r="F431" s="95">
        <v>0.8</v>
      </c>
      <c r="G431" s="109">
        <f t="shared" si="46"/>
        <v>0.4</v>
      </c>
      <c r="H431" s="109">
        <v>0.4</v>
      </c>
      <c r="I431" s="109">
        <v>0.8</v>
      </c>
      <c r="J431" s="113">
        <f t="shared" si="47"/>
        <v>0.4</v>
      </c>
      <c r="K431" s="41" t="s">
        <v>362</v>
      </c>
      <c r="L431" s="41"/>
      <c r="M431" s="130">
        <v>0.4</v>
      </c>
      <c r="N431" s="142">
        <f t="shared" si="49"/>
        <v>166.56640000000004</v>
      </c>
      <c r="O431" s="128">
        <f t="shared" si="50"/>
        <v>83.283200000000022</v>
      </c>
      <c r="P431" s="159">
        <f t="shared" si="51"/>
        <v>166.6</v>
      </c>
      <c r="Q431" s="160">
        <f t="shared" si="52"/>
        <v>83.3</v>
      </c>
    </row>
    <row r="432" spans="1:17" thickTop="1" thickBot="1">
      <c r="A432" s="12" t="s">
        <v>367</v>
      </c>
      <c r="B432" s="166">
        <v>325.7</v>
      </c>
      <c r="C432" s="10" t="s">
        <v>368</v>
      </c>
      <c r="D432" s="10">
        <f>B432/12/300*1200</f>
        <v>108.56666666666666</v>
      </c>
      <c r="E432" s="1">
        <v>0.25</v>
      </c>
      <c r="F432" s="95">
        <v>0.25</v>
      </c>
      <c r="G432" s="109">
        <f t="shared" si="46"/>
        <v>0.1</v>
      </c>
      <c r="H432" s="109">
        <v>0.1</v>
      </c>
      <c r="I432" s="109">
        <v>0.25</v>
      </c>
      <c r="J432" s="113">
        <f t="shared" si="47"/>
        <v>0.1</v>
      </c>
      <c r="K432" s="12"/>
      <c r="L432" s="12"/>
      <c r="M432" s="129">
        <v>0.1</v>
      </c>
      <c r="N432" s="142">
        <f t="shared" si="49"/>
        <v>100.31560000000002</v>
      </c>
      <c r="O432" s="128">
        <f t="shared" si="50"/>
        <v>40.126240000000003</v>
      </c>
      <c r="P432" s="159">
        <f t="shared" si="51"/>
        <v>100.3</v>
      </c>
      <c r="Q432" s="160">
        <f t="shared" si="52"/>
        <v>40.1</v>
      </c>
    </row>
    <row r="433" spans="1:17" thickTop="1" thickBot="1">
      <c r="A433" s="12" t="s">
        <v>367</v>
      </c>
      <c r="B433" s="166">
        <v>610.5</v>
      </c>
      <c r="C433" s="10" t="s">
        <v>368</v>
      </c>
      <c r="D433" s="10">
        <f>B433/12/600*1200</f>
        <v>101.75</v>
      </c>
      <c r="E433" s="1">
        <v>0.3</v>
      </c>
      <c r="F433" s="95">
        <v>0.3</v>
      </c>
      <c r="G433" s="109">
        <f t="shared" si="46"/>
        <v>0.1</v>
      </c>
      <c r="H433" s="109">
        <v>0.1</v>
      </c>
      <c r="I433" s="109">
        <v>0.3</v>
      </c>
      <c r="J433" s="113">
        <f t="shared" si="47"/>
        <v>0.1</v>
      </c>
      <c r="K433" s="12"/>
      <c r="L433" s="12"/>
      <c r="M433" s="129">
        <v>0.1</v>
      </c>
      <c r="N433" s="142">
        <f t="shared" si="49"/>
        <v>225.64080000000004</v>
      </c>
      <c r="O433" s="128">
        <f t="shared" si="50"/>
        <v>75.213600000000014</v>
      </c>
      <c r="P433" s="159">
        <f t="shared" si="51"/>
        <v>225.6</v>
      </c>
      <c r="Q433" s="160">
        <f t="shared" si="52"/>
        <v>75.2</v>
      </c>
    </row>
    <row r="434" spans="1:17" thickTop="1" thickBot="1">
      <c r="A434" s="12" t="s">
        <v>367</v>
      </c>
      <c r="B434" s="166">
        <v>1413.8</v>
      </c>
      <c r="C434" s="10" t="s">
        <v>368</v>
      </c>
      <c r="D434" s="10">
        <f>B434/30/600*1200</f>
        <v>94.25333333333333</v>
      </c>
      <c r="E434" s="1">
        <v>0.25</v>
      </c>
      <c r="F434" s="95">
        <v>0.25</v>
      </c>
      <c r="G434" s="109">
        <f t="shared" si="46"/>
        <v>0.1</v>
      </c>
      <c r="H434" s="109">
        <v>0.1</v>
      </c>
      <c r="I434" s="109">
        <v>0.25</v>
      </c>
      <c r="J434" s="113">
        <f t="shared" si="47"/>
        <v>0.1</v>
      </c>
      <c r="K434" s="12"/>
      <c r="L434" s="12"/>
      <c r="M434" s="129">
        <v>0.1</v>
      </c>
      <c r="N434" s="142">
        <f t="shared" si="49"/>
        <v>435.45040000000006</v>
      </c>
      <c r="O434" s="128">
        <f t="shared" si="50"/>
        <v>174.18016000000003</v>
      </c>
      <c r="P434" s="159">
        <f t="shared" si="51"/>
        <v>435.5</v>
      </c>
      <c r="Q434" s="160">
        <f t="shared" si="52"/>
        <v>174.2</v>
      </c>
    </row>
    <row r="435" spans="1:17" thickTop="1" thickBot="1">
      <c r="A435" s="12" t="s">
        <v>367</v>
      </c>
      <c r="B435" s="166">
        <v>1413.8</v>
      </c>
      <c r="C435" s="10" t="s">
        <v>368</v>
      </c>
      <c r="D435" s="10">
        <f>B435/30/600*1200</f>
        <v>94.25333333333333</v>
      </c>
      <c r="E435" s="1">
        <v>0.25</v>
      </c>
      <c r="F435" s="95">
        <v>0.25</v>
      </c>
      <c r="G435" s="109">
        <f t="shared" si="46"/>
        <v>0.1</v>
      </c>
      <c r="H435" s="109">
        <v>0.1</v>
      </c>
      <c r="I435" s="109">
        <v>0.25</v>
      </c>
      <c r="J435" s="113">
        <f t="shared" si="47"/>
        <v>0.1</v>
      </c>
      <c r="K435" s="12"/>
      <c r="L435" s="12"/>
      <c r="M435" s="129">
        <v>0.1</v>
      </c>
      <c r="N435" s="142">
        <f t="shared" si="49"/>
        <v>435.45040000000006</v>
      </c>
      <c r="O435" s="128">
        <f t="shared" si="50"/>
        <v>174.18016000000003</v>
      </c>
      <c r="P435" s="159">
        <f t="shared" si="51"/>
        <v>435.5</v>
      </c>
      <c r="Q435" s="160">
        <f t="shared" si="52"/>
        <v>174.2</v>
      </c>
    </row>
    <row r="436" spans="1:17" ht="69" thickTop="1" thickBot="1">
      <c r="A436" s="12" t="s">
        <v>369</v>
      </c>
      <c r="B436" s="166">
        <v>406.4</v>
      </c>
      <c r="C436" s="10" t="s">
        <v>340</v>
      </c>
      <c r="D436" s="10">
        <f>B436/10/250*500</f>
        <v>81.28</v>
      </c>
      <c r="E436" s="1">
        <v>0.25</v>
      </c>
      <c r="F436" s="95">
        <v>0.25</v>
      </c>
      <c r="G436" s="109">
        <f t="shared" si="46"/>
        <v>0.1</v>
      </c>
      <c r="H436" s="109">
        <v>0.1</v>
      </c>
      <c r="I436" s="109">
        <v>0.25</v>
      </c>
      <c r="J436" s="113">
        <f t="shared" si="47"/>
        <v>0.1</v>
      </c>
      <c r="K436" s="12" t="s">
        <v>370</v>
      </c>
      <c r="L436" s="12"/>
      <c r="M436" s="129">
        <v>0.1</v>
      </c>
      <c r="N436" s="142">
        <f t="shared" si="49"/>
        <v>125.17120000000001</v>
      </c>
      <c r="O436" s="128">
        <f t="shared" si="50"/>
        <v>50.068480000000008</v>
      </c>
      <c r="P436" s="159">
        <f t="shared" si="51"/>
        <v>125.2</v>
      </c>
      <c r="Q436" s="160">
        <f t="shared" si="52"/>
        <v>50.1</v>
      </c>
    </row>
    <row r="437" spans="1:17" ht="69" thickTop="1" thickBot="1">
      <c r="A437" s="12" t="s">
        <v>369</v>
      </c>
      <c r="B437" s="166">
        <v>567.1</v>
      </c>
      <c r="C437" s="10" t="s">
        <v>340</v>
      </c>
      <c r="D437" s="10">
        <f>B437/10/500*500</f>
        <v>56.71</v>
      </c>
      <c r="E437" s="1">
        <v>0.25</v>
      </c>
      <c r="F437" s="95">
        <v>0.25</v>
      </c>
      <c r="G437" s="109">
        <f t="shared" si="46"/>
        <v>0.1</v>
      </c>
      <c r="H437" s="109">
        <v>0.1</v>
      </c>
      <c r="I437" s="109">
        <v>0.25</v>
      </c>
      <c r="J437" s="113">
        <f t="shared" si="47"/>
        <v>0.1</v>
      </c>
      <c r="K437" s="12" t="s">
        <v>370</v>
      </c>
      <c r="L437" s="12"/>
      <c r="M437" s="129">
        <v>0.1</v>
      </c>
      <c r="N437" s="142">
        <f t="shared" si="49"/>
        <v>174.66680000000002</v>
      </c>
      <c r="O437" s="128">
        <f t="shared" si="50"/>
        <v>69.866720000000015</v>
      </c>
      <c r="P437" s="159">
        <f t="shared" si="51"/>
        <v>174.7</v>
      </c>
      <c r="Q437" s="160">
        <f t="shared" si="52"/>
        <v>69.900000000000006</v>
      </c>
    </row>
    <row r="438" spans="1:17" ht="69" thickTop="1" thickBot="1">
      <c r="A438" s="12" t="s">
        <v>371</v>
      </c>
      <c r="B438" s="166">
        <v>748.1</v>
      </c>
      <c r="C438" s="10" t="s">
        <v>340</v>
      </c>
      <c r="D438" s="10">
        <f>B438/10/500*500</f>
        <v>74.81</v>
      </c>
      <c r="E438" s="1">
        <v>0.4</v>
      </c>
      <c r="F438" s="95">
        <v>0.4</v>
      </c>
      <c r="G438" s="109">
        <f t="shared" si="46"/>
        <v>0.1</v>
      </c>
      <c r="H438" s="109">
        <v>0.1</v>
      </c>
      <c r="I438" s="109">
        <v>0.4</v>
      </c>
      <c r="J438" s="113">
        <f t="shared" si="47"/>
        <v>0.1</v>
      </c>
      <c r="K438" s="12" t="s">
        <v>370</v>
      </c>
      <c r="L438" s="12"/>
      <c r="M438" s="129">
        <v>0.1</v>
      </c>
      <c r="N438" s="142">
        <f t="shared" si="49"/>
        <v>368.66368000000011</v>
      </c>
      <c r="O438" s="128">
        <f t="shared" si="50"/>
        <v>92.165920000000028</v>
      </c>
      <c r="P438" s="159">
        <f t="shared" si="51"/>
        <v>368.7</v>
      </c>
      <c r="Q438" s="160">
        <f t="shared" si="52"/>
        <v>92.2</v>
      </c>
    </row>
    <row r="439" spans="1:17" ht="69" thickTop="1" thickBot="1">
      <c r="A439" s="12" t="s">
        <v>372</v>
      </c>
      <c r="B439" s="166">
        <v>406.4</v>
      </c>
      <c r="C439" s="10" t="s">
        <v>340</v>
      </c>
      <c r="D439" s="10">
        <f>B439/10/250*500</f>
        <v>81.28</v>
      </c>
      <c r="E439" s="1">
        <v>0.25</v>
      </c>
      <c r="F439" s="95">
        <v>0.25</v>
      </c>
      <c r="G439" s="109">
        <f t="shared" si="46"/>
        <v>0.1</v>
      </c>
      <c r="H439" s="109">
        <v>0.1</v>
      </c>
      <c r="I439" s="109">
        <v>0.25</v>
      </c>
      <c r="J439" s="113">
        <f t="shared" si="47"/>
        <v>0.1</v>
      </c>
      <c r="K439" s="12" t="s">
        <v>370</v>
      </c>
      <c r="L439" s="12"/>
      <c r="M439" s="129">
        <v>0.1</v>
      </c>
      <c r="N439" s="142">
        <f t="shared" si="49"/>
        <v>125.17120000000001</v>
      </c>
      <c r="O439" s="128">
        <f t="shared" si="50"/>
        <v>50.068480000000008</v>
      </c>
      <c r="P439" s="159">
        <f t="shared" si="51"/>
        <v>125.2</v>
      </c>
      <c r="Q439" s="160">
        <f t="shared" si="52"/>
        <v>50.1</v>
      </c>
    </row>
    <row r="440" spans="1:17" ht="69" thickTop="1" thickBot="1">
      <c r="A440" s="12" t="s">
        <v>372</v>
      </c>
      <c r="B440" s="166">
        <v>748.1</v>
      </c>
      <c r="C440" s="10" t="s">
        <v>340</v>
      </c>
      <c r="D440" s="10">
        <f>B440/10/500*500</f>
        <v>74.81</v>
      </c>
      <c r="E440" s="1">
        <v>0.4</v>
      </c>
      <c r="F440" s="95">
        <v>0.4</v>
      </c>
      <c r="G440" s="109">
        <f t="shared" si="46"/>
        <v>0.1</v>
      </c>
      <c r="H440" s="109">
        <v>0.1</v>
      </c>
      <c r="I440" s="109">
        <v>0.4</v>
      </c>
      <c r="J440" s="113">
        <f t="shared" si="47"/>
        <v>0.1</v>
      </c>
      <c r="K440" s="12" t="s">
        <v>370</v>
      </c>
      <c r="L440" s="12"/>
      <c r="M440" s="129">
        <v>0.1</v>
      </c>
      <c r="N440" s="142">
        <f t="shared" si="49"/>
        <v>368.66368000000011</v>
      </c>
      <c r="O440" s="128">
        <f t="shared" si="50"/>
        <v>92.165920000000028</v>
      </c>
      <c r="P440" s="159">
        <f t="shared" si="51"/>
        <v>368.7</v>
      </c>
      <c r="Q440" s="160">
        <f t="shared" si="52"/>
        <v>92.2</v>
      </c>
    </row>
    <row r="441" spans="1:17" ht="69" thickTop="1" thickBot="1">
      <c r="A441" s="12" t="s">
        <v>373</v>
      </c>
      <c r="B441" s="166">
        <v>284.5</v>
      </c>
      <c r="C441" s="10" t="s">
        <v>340</v>
      </c>
      <c r="D441" s="10">
        <f>B441/7/250*500</f>
        <v>81.285714285714292</v>
      </c>
      <c r="E441" s="1">
        <v>0.25</v>
      </c>
      <c r="F441" s="95">
        <v>0.25</v>
      </c>
      <c r="G441" s="109">
        <f t="shared" si="46"/>
        <v>0.1</v>
      </c>
      <c r="H441" s="109">
        <v>0.1</v>
      </c>
      <c r="I441" s="109">
        <v>0.25</v>
      </c>
      <c r="J441" s="113">
        <f t="shared" si="47"/>
        <v>0.1</v>
      </c>
      <c r="K441" s="12" t="s">
        <v>370</v>
      </c>
      <c r="L441" s="12"/>
      <c r="M441" s="129">
        <v>0.1</v>
      </c>
      <c r="N441" s="142">
        <f t="shared" si="49"/>
        <v>87.626000000000019</v>
      </c>
      <c r="O441" s="128">
        <f t="shared" si="50"/>
        <v>35.05040000000001</v>
      </c>
      <c r="P441" s="159">
        <f t="shared" si="51"/>
        <v>87.6</v>
      </c>
      <c r="Q441" s="160">
        <f t="shared" si="52"/>
        <v>35.1</v>
      </c>
    </row>
    <row r="442" spans="1:17" ht="69" thickTop="1" thickBot="1">
      <c r="A442" s="12" t="s">
        <v>373</v>
      </c>
      <c r="B442" s="166">
        <v>397</v>
      </c>
      <c r="C442" s="10" t="s">
        <v>340</v>
      </c>
      <c r="D442" s="10">
        <f>B442/7/500*500</f>
        <v>56.714285714285715</v>
      </c>
      <c r="E442" s="1">
        <v>0.25</v>
      </c>
      <c r="F442" s="95">
        <v>0.25</v>
      </c>
      <c r="G442" s="109">
        <f t="shared" si="46"/>
        <v>0.1</v>
      </c>
      <c r="H442" s="109">
        <v>0.1</v>
      </c>
      <c r="I442" s="109">
        <v>0.25</v>
      </c>
      <c r="J442" s="113">
        <f t="shared" si="47"/>
        <v>0.1</v>
      </c>
      <c r="K442" s="12" t="s">
        <v>370</v>
      </c>
      <c r="L442" s="12"/>
      <c r="M442" s="129">
        <v>0.1</v>
      </c>
      <c r="N442" s="142">
        <f t="shared" si="49"/>
        <v>122.27600000000002</v>
      </c>
      <c r="O442" s="128">
        <f t="shared" si="50"/>
        <v>48.91040000000001</v>
      </c>
      <c r="P442" s="159">
        <f t="shared" si="51"/>
        <v>122.3</v>
      </c>
      <c r="Q442" s="160">
        <f t="shared" si="52"/>
        <v>48.9</v>
      </c>
    </row>
    <row r="443" spans="1:17" ht="69" thickTop="1" thickBot="1">
      <c r="A443" s="12" t="s">
        <v>374</v>
      </c>
      <c r="B443" s="166">
        <v>406.4</v>
      </c>
      <c r="C443" s="10" t="s">
        <v>340</v>
      </c>
      <c r="D443" s="10">
        <f>B443/10/250*500</f>
        <v>81.28</v>
      </c>
      <c r="E443" s="1">
        <v>0.25</v>
      </c>
      <c r="F443" s="95">
        <v>0.25</v>
      </c>
      <c r="G443" s="109">
        <f t="shared" si="46"/>
        <v>0.1</v>
      </c>
      <c r="H443" s="109">
        <v>0.1</v>
      </c>
      <c r="I443" s="109">
        <v>0.25</v>
      </c>
      <c r="J443" s="113">
        <f t="shared" si="47"/>
        <v>0.1</v>
      </c>
      <c r="K443" s="12" t="s">
        <v>370</v>
      </c>
      <c r="L443" s="12"/>
      <c r="M443" s="129">
        <v>0.1</v>
      </c>
      <c r="N443" s="142">
        <f t="shared" si="49"/>
        <v>125.17120000000001</v>
      </c>
      <c r="O443" s="128">
        <f t="shared" si="50"/>
        <v>50.068480000000008</v>
      </c>
      <c r="P443" s="159">
        <f t="shared" si="51"/>
        <v>125.2</v>
      </c>
      <c r="Q443" s="160">
        <f t="shared" si="52"/>
        <v>50.1</v>
      </c>
    </row>
    <row r="444" spans="1:17" ht="69" thickTop="1" thickBot="1">
      <c r="A444" s="12" t="s">
        <v>374</v>
      </c>
      <c r="B444" s="166">
        <v>670.5</v>
      </c>
      <c r="C444" s="10" t="s">
        <v>340</v>
      </c>
      <c r="D444" s="10">
        <f>B444/10/500*500</f>
        <v>67.05</v>
      </c>
      <c r="E444" s="1">
        <v>0.35</v>
      </c>
      <c r="F444" s="95">
        <v>0.35</v>
      </c>
      <c r="G444" s="109">
        <f t="shared" si="46"/>
        <v>0.1</v>
      </c>
      <c r="H444" s="109">
        <v>0.1</v>
      </c>
      <c r="I444" s="109">
        <v>0.35</v>
      </c>
      <c r="J444" s="113">
        <f t="shared" si="47"/>
        <v>0.1</v>
      </c>
      <c r="K444" s="12" t="s">
        <v>370</v>
      </c>
      <c r="L444" s="12"/>
      <c r="M444" s="129">
        <v>0.1</v>
      </c>
      <c r="N444" s="142">
        <f t="shared" si="49"/>
        <v>289.11960000000005</v>
      </c>
      <c r="O444" s="128">
        <f t="shared" si="50"/>
        <v>82.60560000000001</v>
      </c>
      <c r="P444" s="159">
        <f t="shared" si="51"/>
        <v>289.10000000000002</v>
      </c>
      <c r="Q444" s="160">
        <f t="shared" si="52"/>
        <v>82.6</v>
      </c>
    </row>
    <row r="445" spans="1:17" ht="69" thickTop="1" thickBot="1">
      <c r="A445" s="12" t="s">
        <v>375</v>
      </c>
      <c r="B445" s="166">
        <v>406.4</v>
      </c>
      <c r="C445" s="10" t="s">
        <v>340</v>
      </c>
      <c r="D445" s="10">
        <f>+B445/10/250*500</f>
        <v>81.28</v>
      </c>
      <c r="E445" s="1">
        <v>0.25</v>
      </c>
      <c r="F445" s="95">
        <v>0.25</v>
      </c>
      <c r="G445" s="109">
        <f t="shared" ref="G445:G508" si="53">IF(AND(F445&gt;=0.15, F445&lt;=0.45), 0.1, IF(AND(F445&gt;=0.5, F445&lt;=0.9), F445-0.4, F445))</f>
        <v>0.1</v>
      </c>
      <c r="H445" s="109">
        <v>0.1</v>
      </c>
      <c r="I445" s="109">
        <v>0.25</v>
      </c>
      <c r="J445" s="113">
        <f t="shared" ref="J445:J508" si="54">H445</f>
        <v>0.1</v>
      </c>
      <c r="K445" s="12" t="s">
        <v>370</v>
      </c>
      <c r="L445" s="12"/>
      <c r="M445" s="129">
        <v>0.1</v>
      </c>
      <c r="N445" s="142">
        <f t="shared" si="49"/>
        <v>125.17120000000001</v>
      </c>
      <c r="O445" s="128">
        <f t="shared" si="50"/>
        <v>50.068480000000008</v>
      </c>
      <c r="P445" s="159">
        <f t="shared" si="51"/>
        <v>125.2</v>
      </c>
      <c r="Q445" s="160">
        <f t="shared" si="52"/>
        <v>50.1</v>
      </c>
    </row>
    <row r="446" spans="1:17" ht="69" thickTop="1" thickBot="1">
      <c r="A446" s="12" t="s">
        <v>375</v>
      </c>
      <c r="B446" s="166">
        <v>567.1</v>
      </c>
      <c r="C446" s="10" t="s">
        <v>340</v>
      </c>
      <c r="D446" s="10">
        <f>+B446/10/500*500</f>
        <v>56.71</v>
      </c>
      <c r="E446" s="1">
        <v>0.25</v>
      </c>
      <c r="F446" s="95">
        <v>0.25</v>
      </c>
      <c r="G446" s="109">
        <f t="shared" si="53"/>
        <v>0.1</v>
      </c>
      <c r="H446" s="109">
        <v>0.1</v>
      </c>
      <c r="I446" s="109">
        <v>0.25</v>
      </c>
      <c r="J446" s="113">
        <f t="shared" si="54"/>
        <v>0.1</v>
      </c>
      <c r="K446" s="12" t="s">
        <v>370</v>
      </c>
      <c r="L446" s="12"/>
      <c r="M446" s="129">
        <v>0.1</v>
      </c>
      <c r="N446" s="142">
        <f t="shared" si="49"/>
        <v>174.66680000000002</v>
      </c>
      <c r="O446" s="128">
        <f t="shared" si="50"/>
        <v>69.866720000000015</v>
      </c>
      <c r="P446" s="159">
        <f t="shared" si="51"/>
        <v>174.7</v>
      </c>
      <c r="Q446" s="160">
        <f t="shared" si="52"/>
        <v>69.900000000000006</v>
      </c>
    </row>
    <row r="447" spans="1:17" ht="69" thickTop="1" thickBot="1">
      <c r="A447" s="13" t="s">
        <v>376</v>
      </c>
      <c r="B447" s="167">
        <v>397</v>
      </c>
      <c r="C447" s="10" t="s">
        <v>340</v>
      </c>
      <c r="D447" s="10">
        <f>B447/7/500*500</f>
        <v>56.714285714285715</v>
      </c>
      <c r="E447" s="2">
        <v>0.25</v>
      </c>
      <c r="F447" s="96">
        <v>0.25</v>
      </c>
      <c r="G447" s="109">
        <f t="shared" si="53"/>
        <v>0.1</v>
      </c>
      <c r="H447" s="109">
        <v>0.1</v>
      </c>
      <c r="I447" s="109">
        <v>0.25</v>
      </c>
      <c r="J447" s="113">
        <f t="shared" si="54"/>
        <v>0.1</v>
      </c>
      <c r="K447" s="12" t="s">
        <v>370</v>
      </c>
      <c r="L447" s="12"/>
      <c r="M447" s="129">
        <v>0.1</v>
      </c>
      <c r="N447" s="142">
        <f t="shared" si="49"/>
        <v>122.27600000000002</v>
      </c>
      <c r="O447" s="128">
        <f t="shared" si="50"/>
        <v>48.91040000000001</v>
      </c>
      <c r="P447" s="159">
        <f t="shared" si="51"/>
        <v>122.3</v>
      </c>
      <c r="Q447" s="160">
        <f t="shared" si="52"/>
        <v>48.9</v>
      </c>
    </row>
    <row r="448" spans="1:17" ht="69" thickTop="1" thickBot="1">
      <c r="A448" s="15" t="s">
        <v>373</v>
      </c>
      <c r="B448" s="166">
        <v>567.1</v>
      </c>
      <c r="C448" s="10" t="s">
        <v>340</v>
      </c>
      <c r="D448" s="10">
        <f>B448/10/500*500</f>
        <v>56.71</v>
      </c>
      <c r="E448" s="3">
        <v>0.25</v>
      </c>
      <c r="F448" s="98">
        <v>0.25</v>
      </c>
      <c r="G448" s="109">
        <f t="shared" si="53"/>
        <v>0.1</v>
      </c>
      <c r="H448" s="109">
        <v>0.1</v>
      </c>
      <c r="I448" s="109">
        <v>0.25</v>
      </c>
      <c r="J448" s="113">
        <f t="shared" si="54"/>
        <v>0.1</v>
      </c>
      <c r="K448" s="12" t="s">
        <v>370</v>
      </c>
      <c r="L448" s="12"/>
      <c r="M448" s="129">
        <v>0.1</v>
      </c>
      <c r="N448" s="142">
        <f t="shared" si="49"/>
        <v>174.66680000000002</v>
      </c>
      <c r="O448" s="128">
        <f t="shared" si="50"/>
        <v>69.866720000000015</v>
      </c>
      <c r="P448" s="159">
        <f t="shared" si="51"/>
        <v>174.7</v>
      </c>
      <c r="Q448" s="160">
        <f t="shared" si="52"/>
        <v>69.900000000000006</v>
      </c>
    </row>
    <row r="449" spans="1:18" ht="69" thickTop="1" thickBot="1">
      <c r="A449" s="12" t="s">
        <v>377</v>
      </c>
      <c r="B449" s="166">
        <v>567.1</v>
      </c>
      <c r="C449" s="10" t="s">
        <v>340</v>
      </c>
      <c r="D449" s="10">
        <f>(B449/10)/500*500</f>
        <v>56.71</v>
      </c>
      <c r="E449" s="3">
        <v>0.25</v>
      </c>
      <c r="F449" s="98">
        <v>0.25</v>
      </c>
      <c r="G449" s="109">
        <f t="shared" si="53"/>
        <v>0.1</v>
      </c>
      <c r="H449" s="109">
        <v>0.1</v>
      </c>
      <c r="I449" s="109">
        <v>0.25</v>
      </c>
      <c r="J449" s="113">
        <f t="shared" si="54"/>
        <v>0.1</v>
      </c>
      <c r="K449" s="12" t="s">
        <v>370</v>
      </c>
      <c r="L449" s="12"/>
      <c r="M449" s="129">
        <v>0.1</v>
      </c>
      <c r="N449" s="142">
        <f t="shared" si="49"/>
        <v>174.66680000000002</v>
      </c>
      <c r="O449" s="128">
        <f t="shared" si="50"/>
        <v>69.866720000000015</v>
      </c>
      <c r="P449" s="159">
        <f t="shared" si="51"/>
        <v>174.7</v>
      </c>
      <c r="Q449" s="160">
        <f t="shared" si="52"/>
        <v>69.900000000000006</v>
      </c>
    </row>
    <row r="450" spans="1:18" ht="114" thickTop="1" thickBot="1">
      <c r="A450" s="62" t="s">
        <v>378</v>
      </c>
      <c r="B450" s="166">
        <v>669.3</v>
      </c>
      <c r="C450" s="9" t="s">
        <v>348</v>
      </c>
      <c r="D450" s="10">
        <f>B450/10/400*400</f>
        <v>66.929999999999993</v>
      </c>
      <c r="E450" s="11">
        <v>0.3</v>
      </c>
      <c r="F450" s="27">
        <v>0.3</v>
      </c>
      <c r="G450" s="109">
        <f t="shared" si="53"/>
        <v>0.1</v>
      </c>
      <c r="H450" s="109">
        <v>0.1</v>
      </c>
      <c r="I450" s="109">
        <v>0.3</v>
      </c>
      <c r="J450" s="113">
        <f t="shared" si="54"/>
        <v>0.1</v>
      </c>
      <c r="K450" s="12" t="s">
        <v>379</v>
      </c>
      <c r="L450" s="12" t="s">
        <v>380</v>
      </c>
      <c r="M450" s="129">
        <v>0.1</v>
      </c>
      <c r="N450" s="142">
        <f t="shared" si="49"/>
        <v>247.37328000000002</v>
      </c>
      <c r="O450" s="128">
        <f t="shared" si="50"/>
        <v>82.457760000000007</v>
      </c>
      <c r="P450" s="159">
        <f t="shared" si="51"/>
        <v>247.4</v>
      </c>
      <c r="Q450" s="160">
        <f t="shared" si="52"/>
        <v>82.5</v>
      </c>
    </row>
    <row r="451" spans="1:18" ht="114" thickTop="1" thickBot="1">
      <c r="A451" s="12" t="s">
        <v>381</v>
      </c>
      <c r="B451" s="166">
        <v>468.5</v>
      </c>
      <c r="C451" s="9" t="s">
        <v>382</v>
      </c>
      <c r="D451" s="10">
        <f>+(B451/7)/400*400</f>
        <v>66.928571428571431</v>
      </c>
      <c r="E451" s="11">
        <v>0.3</v>
      </c>
      <c r="F451" s="27">
        <v>0.3</v>
      </c>
      <c r="G451" s="109">
        <f t="shared" si="53"/>
        <v>0.1</v>
      </c>
      <c r="H451" s="109">
        <v>0.1</v>
      </c>
      <c r="I451" s="109">
        <v>0.3</v>
      </c>
      <c r="J451" s="113">
        <f t="shared" si="54"/>
        <v>0.1</v>
      </c>
      <c r="K451" s="12" t="s">
        <v>379</v>
      </c>
      <c r="L451" s="12" t="s">
        <v>380</v>
      </c>
      <c r="M451" s="129">
        <v>0.1</v>
      </c>
      <c r="N451" s="142">
        <f t="shared" ref="N451:N514" si="55">B451*I451*1.12*1.1</f>
        <v>173.1576</v>
      </c>
      <c r="O451" s="128">
        <f t="shared" ref="O451:O514" si="56">B451*M451*1.12*1.1</f>
        <v>57.719200000000015</v>
      </c>
      <c r="P451" s="159">
        <f t="shared" ref="P451:P514" si="57">ROUND(N451, 1)</f>
        <v>173.2</v>
      </c>
      <c r="Q451" s="160">
        <f t="shared" ref="Q451:Q514" si="58">ROUND(O451, 1)</f>
        <v>57.7</v>
      </c>
    </row>
    <row r="452" spans="1:18" ht="114" thickTop="1" thickBot="1">
      <c r="A452" s="12" t="s">
        <v>381</v>
      </c>
      <c r="B452" s="166">
        <v>669.3</v>
      </c>
      <c r="C452" s="9" t="s">
        <v>382</v>
      </c>
      <c r="D452" s="10">
        <f>+(B452/10)/400*400</f>
        <v>66.929999999999993</v>
      </c>
      <c r="E452" s="11">
        <v>0.3</v>
      </c>
      <c r="F452" s="27">
        <v>0.3</v>
      </c>
      <c r="G452" s="109">
        <f t="shared" si="53"/>
        <v>0.1</v>
      </c>
      <c r="H452" s="109">
        <v>0.1</v>
      </c>
      <c r="I452" s="109">
        <v>0.3</v>
      </c>
      <c r="J452" s="113">
        <f t="shared" si="54"/>
        <v>0.1</v>
      </c>
      <c r="K452" s="12" t="s">
        <v>379</v>
      </c>
      <c r="L452" s="12" t="s">
        <v>380</v>
      </c>
      <c r="M452" s="129">
        <v>0.1</v>
      </c>
      <c r="N452" s="142">
        <f t="shared" si="55"/>
        <v>247.37328000000002</v>
      </c>
      <c r="O452" s="128">
        <f t="shared" si="56"/>
        <v>82.457760000000007</v>
      </c>
      <c r="P452" s="159">
        <f t="shared" si="57"/>
        <v>247.4</v>
      </c>
      <c r="Q452" s="160">
        <f t="shared" si="58"/>
        <v>82.5</v>
      </c>
    </row>
    <row r="453" spans="1:18" thickTop="1" thickBot="1">
      <c r="A453" s="12" t="s">
        <v>383</v>
      </c>
      <c r="B453" s="166">
        <v>297.39999999999998</v>
      </c>
      <c r="C453" s="10" t="s">
        <v>384</v>
      </c>
      <c r="D453" s="10">
        <f>B453/20/200*800</f>
        <v>59.48</v>
      </c>
      <c r="E453" s="1">
        <v>0.25</v>
      </c>
      <c r="F453" s="95">
        <v>0.25</v>
      </c>
      <c r="G453" s="109">
        <f t="shared" si="53"/>
        <v>0.1</v>
      </c>
      <c r="H453" s="109">
        <v>0.1</v>
      </c>
      <c r="I453" s="109">
        <v>0.25</v>
      </c>
      <c r="J453" s="113">
        <f t="shared" si="54"/>
        <v>0.1</v>
      </c>
      <c r="K453" s="12"/>
      <c r="L453" s="12"/>
      <c r="M453" s="129">
        <v>0.1</v>
      </c>
      <c r="N453" s="142">
        <f t="shared" si="55"/>
        <v>91.59920000000001</v>
      </c>
      <c r="O453" s="128">
        <f t="shared" si="56"/>
        <v>36.639679999999998</v>
      </c>
      <c r="P453" s="159">
        <f t="shared" si="57"/>
        <v>91.6</v>
      </c>
      <c r="Q453" s="160">
        <f t="shared" si="58"/>
        <v>36.6</v>
      </c>
    </row>
    <row r="454" spans="1:18" ht="35.25" thickTop="1" thickBot="1">
      <c r="A454" s="12" t="s">
        <v>385</v>
      </c>
      <c r="B454" s="166">
        <v>297.39999999999998</v>
      </c>
      <c r="C454" s="10" t="s">
        <v>386</v>
      </c>
      <c r="D454" s="10">
        <f>B454/1/3*3</f>
        <v>297.39999999999998</v>
      </c>
      <c r="E454" s="1">
        <v>0.45</v>
      </c>
      <c r="F454" s="95">
        <v>0.45</v>
      </c>
      <c r="G454" s="109">
        <f t="shared" si="53"/>
        <v>0.1</v>
      </c>
      <c r="H454" s="109">
        <v>0.1</v>
      </c>
      <c r="I454" s="109">
        <v>0.45</v>
      </c>
      <c r="J454" s="113">
        <f t="shared" si="54"/>
        <v>0.1</v>
      </c>
      <c r="K454" s="63" t="s">
        <v>387</v>
      </c>
      <c r="L454" s="12"/>
      <c r="M454" s="129">
        <v>0.1</v>
      </c>
      <c r="N454" s="142">
        <f t="shared" si="55"/>
        <v>164.87856000000002</v>
      </c>
      <c r="O454" s="128">
        <f t="shared" si="56"/>
        <v>36.639679999999998</v>
      </c>
      <c r="P454" s="159">
        <f t="shared" si="57"/>
        <v>164.9</v>
      </c>
      <c r="Q454" s="160">
        <f t="shared" si="58"/>
        <v>36.6</v>
      </c>
    </row>
    <row r="455" spans="1:18" ht="35.25" thickTop="1" thickBot="1">
      <c r="A455" s="12" t="s">
        <v>724</v>
      </c>
      <c r="B455" s="166">
        <v>208.2</v>
      </c>
      <c r="C455" s="10" t="s">
        <v>386</v>
      </c>
      <c r="D455" s="10">
        <f>B455/1/3*3</f>
        <v>208.2</v>
      </c>
      <c r="E455" s="1">
        <v>0.25</v>
      </c>
      <c r="F455" s="95">
        <v>0.25</v>
      </c>
      <c r="G455" s="109">
        <f t="shared" si="53"/>
        <v>0.1</v>
      </c>
      <c r="H455" s="109">
        <v>0.1</v>
      </c>
      <c r="I455" s="109">
        <v>0.25</v>
      </c>
      <c r="J455" s="113">
        <f t="shared" si="54"/>
        <v>0.1</v>
      </c>
      <c r="K455" s="63" t="s">
        <v>387</v>
      </c>
      <c r="L455" s="12"/>
      <c r="M455" s="129">
        <v>0.1</v>
      </c>
      <c r="N455" s="142">
        <f t="shared" si="55"/>
        <v>64.125600000000006</v>
      </c>
      <c r="O455" s="128">
        <f t="shared" si="56"/>
        <v>25.650240000000007</v>
      </c>
      <c r="P455" s="159">
        <f t="shared" si="57"/>
        <v>64.099999999999994</v>
      </c>
      <c r="Q455" s="160">
        <f t="shared" si="58"/>
        <v>25.7</v>
      </c>
    </row>
    <row r="456" spans="1:18" ht="24" thickTop="1" thickBot="1">
      <c r="A456" s="12" t="s">
        <v>388</v>
      </c>
      <c r="B456" s="166">
        <v>132.4</v>
      </c>
      <c r="C456" s="10" t="s">
        <v>78</v>
      </c>
      <c r="D456" s="10">
        <f>B456/1/150*200</f>
        <v>176.53333333333333</v>
      </c>
      <c r="E456" s="11">
        <v>0.75</v>
      </c>
      <c r="F456" s="27">
        <v>0.75</v>
      </c>
      <c r="G456" s="109">
        <f t="shared" si="53"/>
        <v>0.35</v>
      </c>
      <c r="H456" s="109">
        <v>0.35</v>
      </c>
      <c r="I456" s="109">
        <v>0.75</v>
      </c>
      <c r="J456" s="113">
        <f t="shared" si="54"/>
        <v>0.35</v>
      </c>
      <c r="K456" s="12"/>
      <c r="L456" s="63" t="s">
        <v>389</v>
      </c>
      <c r="M456" s="133">
        <v>0.35</v>
      </c>
      <c r="N456" s="142">
        <f t="shared" si="55"/>
        <v>122.33760000000004</v>
      </c>
      <c r="O456" s="128">
        <f t="shared" si="56"/>
        <v>57.090880000000006</v>
      </c>
      <c r="P456" s="159">
        <f t="shared" si="57"/>
        <v>122.3</v>
      </c>
      <c r="Q456" s="160">
        <f t="shared" si="58"/>
        <v>57.1</v>
      </c>
    </row>
    <row r="457" spans="1:18" ht="24" thickTop="1" thickBot="1">
      <c r="A457" s="12" t="s">
        <v>388</v>
      </c>
      <c r="B457" s="166">
        <v>150.6</v>
      </c>
      <c r="C457" s="10" t="s">
        <v>78</v>
      </c>
      <c r="D457" s="10">
        <f>B457/7/50*200</f>
        <v>86.05714285714285</v>
      </c>
      <c r="E457" s="11">
        <v>0.75</v>
      </c>
      <c r="F457" s="27">
        <v>0.75</v>
      </c>
      <c r="G457" s="109">
        <f t="shared" si="53"/>
        <v>0.35</v>
      </c>
      <c r="H457" s="109">
        <v>0.35</v>
      </c>
      <c r="I457" s="109">
        <v>0.75</v>
      </c>
      <c r="J457" s="113">
        <f t="shared" si="54"/>
        <v>0.35</v>
      </c>
      <c r="K457" s="12"/>
      <c r="L457" s="63" t="s">
        <v>389</v>
      </c>
      <c r="M457" s="133">
        <v>0.35</v>
      </c>
      <c r="N457" s="142">
        <f t="shared" si="55"/>
        <v>139.15440000000001</v>
      </c>
      <c r="O457" s="128">
        <f t="shared" si="56"/>
        <v>64.938720000000004</v>
      </c>
      <c r="P457" s="159">
        <f t="shared" si="57"/>
        <v>139.19999999999999</v>
      </c>
      <c r="Q457" s="160">
        <f t="shared" si="58"/>
        <v>64.900000000000006</v>
      </c>
    </row>
    <row r="458" spans="1:18" ht="24" thickTop="1" thickBot="1">
      <c r="A458" s="12" t="s">
        <v>390</v>
      </c>
      <c r="B458" s="166">
        <v>150.6</v>
      </c>
      <c r="C458" s="10" t="s">
        <v>78</v>
      </c>
      <c r="D458" s="10">
        <f>B458/7/50*200</f>
        <v>86.05714285714285</v>
      </c>
      <c r="E458" s="11">
        <v>0.75</v>
      </c>
      <c r="F458" s="27">
        <v>0.75</v>
      </c>
      <c r="G458" s="109">
        <f t="shared" si="53"/>
        <v>0.35</v>
      </c>
      <c r="H458" s="109">
        <v>0.35</v>
      </c>
      <c r="I458" s="109">
        <v>0.75</v>
      </c>
      <c r="J458" s="113">
        <f t="shared" si="54"/>
        <v>0.35</v>
      </c>
      <c r="K458" s="12"/>
      <c r="L458" s="63" t="s">
        <v>389</v>
      </c>
      <c r="M458" s="133">
        <v>0.35</v>
      </c>
      <c r="N458" s="142">
        <f t="shared" si="55"/>
        <v>139.15440000000001</v>
      </c>
      <c r="O458" s="128">
        <f t="shared" si="56"/>
        <v>64.938720000000004</v>
      </c>
      <c r="P458" s="159">
        <f t="shared" si="57"/>
        <v>139.19999999999999</v>
      </c>
      <c r="Q458" s="160">
        <f t="shared" si="58"/>
        <v>64.900000000000006</v>
      </c>
    </row>
    <row r="459" spans="1:18" ht="24" thickTop="1" thickBot="1">
      <c r="A459" s="12" t="s">
        <v>390</v>
      </c>
      <c r="B459" s="166">
        <v>132.4</v>
      </c>
      <c r="C459" s="10" t="s">
        <v>78</v>
      </c>
      <c r="D459" s="10">
        <f>B459/1/150*200</f>
        <v>176.53333333333333</v>
      </c>
      <c r="E459" s="11">
        <v>0.75</v>
      </c>
      <c r="F459" s="27">
        <v>0.75</v>
      </c>
      <c r="G459" s="109">
        <f t="shared" si="53"/>
        <v>0.35</v>
      </c>
      <c r="H459" s="109">
        <v>0.35</v>
      </c>
      <c r="I459" s="109">
        <v>0.75</v>
      </c>
      <c r="J459" s="113">
        <f t="shared" si="54"/>
        <v>0.35</v>
      </c>
      <c r="K459" s="12"/>
      <c r="L459" s="63" t="s">
        <v>389</v>
      </c>
      <c r="M459" s="133">
        <v>0.35</v>
      </c>
      <c r="N459" s="142">
        <f t="shared" si="55"/>
        <v>122.33760000000004</v>
      </c>
      <c r="O459" s="128">
        <f t="shared" si="56"/>
        <v>57.090880000000006</v>
      </c>
      <c r="P459" s="159">
        <f t="shared" si="57"/>
        <v>122.3</v>
      </c>
      <c r="Q459" s="160">
        <f t="shared" si="58"/>
        <v>57.1</v>
      </c>
    </row>
    <row r="460" spans="1:18" ht="46.5" thickTop="1" thickBot="1">
      <c r="A460" s="12" t="s">
        <v>391</v>
      </c>
      <c r="B460" s="166">
        <v>695.1</v>
      </c>
      <c r="C460" s="10" t="s">
        <v>78</v>
      </c>
      <c r="D460" s="10">
        <f>B460/10/100*200</f>
        <v>139.02000000000001</v>
      </c>
      <c r="E460" s="11">
        <v>0.3</v>
      </c>
      <c r="F460" s="27">
        <v>0.3</v>
      </c>
      <c r="G460" s="109">
        <f t="shared" si="53"/>
        <v>0.1</v>
      </c>
      <c r="H460" s="109">
        <v>0.1</v>
      </c>
      <c r="I460" s="109">
        <v>0.3</v>
      </c>
      <c r="J460" s="113">
        <f t="shared" si="54"/>
        <v>0.1</v>
      </c>
      <c r="K460" s="12" t="s">
        <v>392</v>
      </c>
      <c r="L460" s="12" t="s">
        <v>393</v>
      </c>
      <c r="M460" s="129">
        <v>0.1</v>
      </c>
      <c r="N460" s="142">
        <f t="shared" si="55"/>
        <v>256.90896000000004</v>
      </c>
      <c r="O460" s="128">
        <f t="shared" si="56"/>
        <v>85.636320000000026</v>
      </c>
      <c r="P460" s="159">
        <f t="shared" si="57"/>
        <v>256.89999999999998</v>
      </c>
      <c r="Q460" s="160">
        <f t="shared" si="58"/>
        <v>85.6</v>
      </c>
    </row>
    <row r="461" spans="1:18" thickTop="1" thickBot="1">
      <c r="A461" s="16" t="s">
        <v>394</v>
      </c>
      <c r="B461" s="166">
        <v>556.9</v>
      </c>
      <c r="C461" s="29" t="s">
        <v>7</v>
      </c>
      <c r="D461" s="29">
        <f>B461/30/10*20</f>
        <v>37.126666666666665</v>
      </c>
      <c r="E461" s="11">
        <v>0.4</v>
      </c>
      <c r="F461" s="27">
        <v>0.4</v>
      </c>
      <c r="G461" s="109">
        <f t="shared" si="53"/>
        <v>0.1</v>
      </c>
      <c r="H461" s="109">
        <v>0.1</v>
      </c>
      <c r="I461" s="109">
        <v>0.4</v>
      </c>
      <c r="J461" s="113">
        <f t="shared" si="54"/>
        <v>0.1</v>
      </c>
      <c r="K461" s="94"/>
      <c r="L461" s="16"/>
      <c r="M461" s="134">
        <v>0.1</v>
      </c>
      <c r="N461" s="142">
        <f t="shared" si="55"/>
        <v>274.44032000000004</v>
      </c>
      <c r="O461" s="128">
        <f t="shared" si="56"/>
        <v>68.610080000000011</v>
      </c>
      <c r="P461" s="159">
        <f t="shared" si="57"/>
        <v>274.39999999999998</v>
      </c>
      <c r="Q461" s="160">
        <f t="shared" si="58"/>
        <v>68.599999999999994</v>
      </c>
    </row>
    <row r="462" spans="1:18" ht="294" thickTop="1" thickBot="1">
      <c r="A462" s="16" t="s">
        <v>395</v>
      </c>
      <c r="B462" s="167">
        <v>1066</v>
      </c>
      <c r="C462" s="36" t="s">
        <v>101</v>
      </c>
      <c r="D462" s="36">
        <f>(B462/28)/1*1</f>
        <v>38.071428571428569</v>
      </c>
      <c r="E462" s="24" t="s">
        <v>396</v>
      </c>
      <c r="F462" s="103" t="s">
        <v>396</v>
      </c>
      <c r="G462" s="109" t="str">
        <f t="shared" si="53"/>
        <v>25%</v>
      </c>
      <c r="H462" s="109" t="s">
        <v>396</v>
      </c>
      <c r="I462" s="109" t="s">
        <v>396</v>
      </c>
      <c r="J462" s="113" t="str">
        <f t="shared" si="54"/>
        <v>25%</v>
      </c>
      <c r="K462" s="16" t="s">
        <v>397</v>
      </c>
      <c r="L462" s="16" t="s">
        <v>398</v>
      </c>
      <c r="M462" s="134" t="s">
        <v>396</v>
      </c>
      <c r="N462" s="142">
        <f t="shared" si="55"/>
        <v>328.32800000000003</v>
      </c>
      <c r="O462" s="128">
        <f t="shared" si="56"/>
        <v>328.32800000000003</v>
      </c>
      <c r="P462" s="159">
        <f t="shared" si="57"/>
        <v>328.3</v>
      </c>
      <c r="Q462" s="160">
        <f t="shared" si="58"/>
        <v>328.3</v>
      </c>
    </row>
    <row r="463" spans="1:18" ht="147.75" thickTop="1" thickBot="1">
      <c r="A463" s="149" t="s">
        <v>399</v>
      </c>
      <c r="B463" s="169">
        <v>1491.5</v>
      </c>
      <c r="C463" s="9" t="s">
        <v>7</v>
      </c>
      <c r="D463" s="10">
        <f>B463/30/20*20</f>
        <v>49.716666666666669</v>
      </c>
      <c r="E463" s="150">
        <v>0.1</v>
      </c>
      <c r="F463" s="27">
        <v>0.1</v>
      </c>
      <c r="G463" s="109">
        <f t="shared" si="53"/>
        <v>0.1</v>
      </c>
      <c r="H463" s="109">
        <v>0.1</v>
      </c>
      <c r="I463" s="151">
        <v>0.1</v>
      </c>
      <c r="J463" s="152">
        <f t="shared" si="54"/>
        <v>0.1</v>
      </c>
      <c r="K463" s="12" t="s">
        <v>400</v>
      </c>
      <c r="L463" s="56" t="s">
        <v>401</v>
      </c>
      <c r="M463" s="153">
        <v>0.1</v>
      </c>
      <c r="N463" s="154">
        <f t="shared" si="55"/>
        <v>183.75280000000004</v>
      </c>
      <c r="O463" s="155">
        <f t="shared" si="56"/>
        <v>183.75280000000004</v>
      </c>
      <c r="P463" s="161">
        <f t="shared" si="57"/>
        <v>183.8</v>
      </c>
      <c r="Q463" s="162">
        <f t="shared" si="58"/>
        <v>183.8</v>
      </c>
      <c r="R463" s="156" t="s">
        <v>741</v>
      </c>
    </row>
    <row r="464" spans="1:18" ht="46.5" thickTop="1" thickBot="1">
      <c r="A464" s="12" t="s">
        <v>402</v>
      </c>
      <c r="B464" s="166">
        <v>485</v>
      </c>
      <c r="C464" s="10" t="s">
        <v>92</v>
      </c>
      <c r="D464" s="10">
        <f>B464/4/70*10</f>
        <v>17.321428571428573</v>
      </c>
      <c r="E464" s="1">
        <v>0.35</v>
      </c>
      <c r="F464" s="95">
        <v>0.35</v>
      </c>
      <c r="G464" s="109">
        <f t="shared" si="53"/>
        <v>0.1</v>
      </c>
      <c r="H464" s="109">
        <v>0.1</v>
      </c>
      <c r="I464" s="109">
        <v>0.35</v>
      </c>
      <c r="J464" s="113">
        <f t="shared" si="54"/>
        <v>0.1</v>
      </c>
      <c r="K464" s="12" t="s">
        <v>403</v>
      </c>
      <c r="L464" s="12" t="s">
        <v>404</v>
      </c>
      <c r="M464" s="129">
        <v>0.1</v>
      </c>
      <c r="N464" s="142">
        <f t="shared" si="55"/>
        <v>209.13200000000003</v>
      </c>
      <c r="O464" s="128">
        <f t="shared" si="56"/>
        <v>59.75200000000001</v>
      </c>
      <c r="P464" s="159">
        <f t="shared" si="57"/>
        <v>209.1</v>
      </c>
      <c r="Q464" s="160">
        <f t="shared" si="58"/>
        <v>59.8</v>
      </c>
    </row>
    <row r="465" spans="1:17" ht="46.5" thickTop="1" thickBot="1">
      <c r="A465" s="12" t="s">
        <v>405</v>
      </c>
      <c r="B465" s="166">
        <v>485</v>
      </c>
      <c r="C465" s="10" t="s">
        <v>92</v>
      </c>
      <c r="D465" s="10">
        <f>B465/4/70*10</f>
        <v>17.321428571428573</v>
      </c>
      <c r="E465" s="1">
        <v>0.35</v>
      </c>
      <c r="F465" s="95">
        <v>0.35</v>
      </c>
      <c r="G465" s="109">
        <f t="shared" si="53"/>
        <v>0.1</v>
      </c>
      <c r="H465" s="109">
        <v>0.1</v>
      </c>
      <c r="I465" s="109">
        <v>0.35</v>
      </c>
      <c r="J465" s="113">
        <f t="shared" si="54"/>
        <v>0.1</v>
      </c>
      <c r="K465" s="12" t="s">
        <v>403</v>
      </c>
      <c r="L465" s="12" t="s">
        <v>404</v>
      </c>
      <c r="M465" s="129">
        <v>0.1</v>
      </c>
      <c r="N465" s="142">
        <f t="shared" si="55"/>
        <v>209.13200000000003</v>
      </c>
      <c r="O465" s="128">
        <f t="shared" si="56"/>
        <v>59.75200000000001</v>
      </c>
      <c r="P465" s="159">
        <f t="shared" si="57"/>
        <v>209.1</v>
      </c>
      <c r="Q465" s="160">
        <f t="shared" si="58"/>
        <v>59.8</v>
      </c>
    </row>
    <row r="466" spans="1:17" ht="46.5" thickTop="1" thickBot="1">
      <c r="A466" s="12" t="s">
        <v>405</v>
      </c>
      <c r="B466" s="166">
        <v>970.1</v>
      </c>
      <c r="C466" s="10" t="s">
        <v>92</v>
      </c>
      <c r="D466" s="10">
        <f>B466/8/70*10</f>
        <v>17.323214285714286</v>
      </c>
      <c r="E466" s="1">
        <v>0.35</v>
      </c>
      <c r="F466" s="95">
        <v>0.35</v>
      </c>
      <c r="G466" s="109">
        <f t="shared" si="53"/>
        <v>0.1</v>
      </c>
      <c r="H466" s="109">
        <v>0.1</v>
      </c>
      <c r="I466" s="109">
        <v>0.35</v>
      </c>
      <c r="J466" s="113">
        <f t="shared" si="54"/>
        <v>0.1</v>
      </c>
      <c r="K466" s="12" t="s">
        <v>403</v>
      </c>
      <c r="L466" s="12" t="s">
        <v>404</v>
      </c>
      <c r="M466" s="129">
        <v>0.1</v>
      </c>
      <c r="N466" s="142">
        <f t="shared" si="55"/>
        <v>418.30712000000005</v>
      </c>
      <c r="O466" s="128">
        <f t="shared" si="56"/>
        <v>119.51632000000002</v>
      </c>
      <c r="P466" s="159">
        <f t="shared" si="57"/>
        <v>418.3</v>
      </c>
      <c r="Q466" s="160">
        <f t="shared" si="58"/>
        <v>119.5</v>
      </c>
    </row>
    <row r="467" spans="1:17" ht="46.5" thickTop="1" thickBot="1">
      <c r="A467" s="12" t="s">
        <v>405</v>
      </c>
      <c r="B467" s="166">
        <v>1455.2</v>
      </c>
      <c r="C467" s="10" t="s">
        <v>92</v>
      </c>
      <c r="D467" s="10">
        <f>B467/12/70*10</f>
        <v>17.323809523809523</v>
      </c>
      <c r="E467" s="1">
        <v>0.35</v>
      </c>
      <c r="F467" s="95">
        <v>0.35</v>
      </c>
      <c r="G467" s="109">
        <f t="shared" si="53"/>
        <v>0.1</v>
      </c>
      <c r="H467" s="109">
        <v>0.1</v>
      </c>
      <c r="I467" s="109">
        <v>0.35</v>
      </c>
      <c r="J467" s="113">
        <f t="shared" si="54"/>
        <v>0.1</v>
      </c>
      <c r="K467" s="12" t="s">
        <v>403</v>
      </c>
      <c r="L467" s="12" t="s">
        <v>404</v>
      </c>
      <c r="M467" s="129">
        <v>0.1</v>
      </c>
      <c r="N467" s="142">
        <f t="shared" si="55"/>
        <v>627.48224000000005</v>
      </c>
      <c r="O467" s="128">
        <f t="shared" si="56"/>
        <v>179.28064000000006</v>
      </c>
      <c r="P467" s="159">
        <f t="shared" si="57"/>
        <v>627.5</v>
      </c>
      <c r="Q467" s="160">
        <f t="shared" si="58"/>
        <v>179.3</v>
      </c>
    </row>
    <row r="468" spans="1:17" ht="46.5" thickTop="1" thickBot="1">
      <c r="A468" s="12" t="s">
        <v>406</v>
      </c>
      <c r="B468" s="166">
        <v>593.29999999999995</v>
      </c>
      <c r="C468" s="10" t="s">
        <v>63</v>
      </c>
      <c r="D468" s="10">
        <f>B468/150*5</f>
        <v>19.776666666666664</v>
      </c>
      <c r="E468" s="1">
        <v>0.35</v>
      </c>
      <c r="F468" s="95">
        <v>0.35</v>
      </c>
      <c r="G468" s="109">
        <f t="shared" si="53"/>
        <v>0.1</v>
      </c>
      <c r="H468" s="109">
        <v>0.1</v>
      </c>
      <c r="I468" s="109">
        <v>0.35</v>
      </c>
      <c r="J468" s="113">
        <f t="shared" si="54"/>
        <v>0.1</v>
      </c>
      <c r="K468" s="12" t="s">
        <v>403</v>
      </c>
      <c r="L468" s="12" t="s">
        <v>404</v>
      </c>
      <c r="M468" s="129">
        <v>0.1</v>
      </c>
      <c r="N468" s="142">
        <f t="shared" si="55"/>
        <v>255.83096000000003</v>
      </c>
      <c r="O468" s="128">
        <f t="shared" si="56"/>
        <v>73.094560000000016</v>
      </c>
      <c r="P468" s="159">
        <f t="shared" si="57"/>
        <v>255.8</v>
      </c>
      <c r="Q468" s="160">
        <f t="shared" si="58"/>
        <v>73.099999999999994</v>
      </c>
    </row>
    <row r="469" spans="1:17" ht="46.5" thickTop="1" thickBot="1">
      <c r="A469" s="12" t="s">
        <v>407</v>
      </c>
      <c r="B469" s="166">
        <v>477.9</v>
      </c>
      <c r="C469" s="10" t="s">
        <v>63</v>
      </c>
      <c r="D469" s="10">
        <f>B469/150*5</f>
        <v>15.93</v>
      </c>
      <c r="E469" s="1">
        <v>0.35</v>
      </c>
      <c r="F469" s="95">
        <v>0.35</v>
      </c>
      <c r="G469" s="109">
        <f t="shared" si="53"/>
        <v>0.1</v>
      </c>
      <c r="H469" s="109">
        <v>0.1</v>
      </c>
      <c r="I469" s="109">
        <v>0.35</v>
      </c>
      <c r="J469" s="113">
        <f t="shared" si="54"/>
        <v>0.1</v>
      </c>
      <c r="K469" s="12" t="s">
        <v>403</v>
      </c>
      <c r="L469" s="12" t="s">
        <v>404</v>
      </c>
      <c r="M469" s="129">
        <v>0.1</v>
      </c>
      <c r="N469" s="142">
        <f t="shared" si="55"/>
        <v>206.07048000000003</v>
      </c>
      <c r="O469" s="128">
        <f t="shared" si="56"/>
        <v>58.877280000000013</v>
      </c>
      <c r="P469" s="159">
        <f t="shared" si="57"/>
        <v>206.1</v>
      </c>
      <c r="Q469" s="160">
        <f t="shared" si="58"/>
        <v>58.9</v>
      </c>
    </row>
    <row r="470" spans="1:17" ht="46.5" thickTop="1" thickBot="1">
      <c r="A470" s="12" t="s">
        <v>408</v>
      </c>
      <c r="B470" s="166">
        <v>477.9</v>
      </c>
      <c r="C470" s="9" t="s">
        <v>63</v>
      </c>
      <c r="D470" s="10">
        <f>B470/150*5</f>
        <v>15.93</v>
      </c>
      <c r="E470" s="1">
        <v>0.35</v>
      </c>
      <c r="F470" s="95">
        <v>0.35</v>
      </c>
      <c r="G470" s="109">
        <f t="shared" si="53"/>
        <v>0.1</v>
      </c>
      <c r="H470" s="109">
        <v>0.1</v>
      </c>
      <c r="I470" s="109">
        <v>0.35</v>
      </c>
      <c r="J470" s="113">
        <f t="shared" si="54"/>
        <v>0.1</v>
      </c>
      <c r="K470" s="12" t="s">
        <v>403</v>
      </c>
      <c r="L470" s="12" t="s">
        <v>404</v>
      </c>
      <c r="M470" s="129">
        <v>0.1</v>
      </c>
      <c r="N470" s="142">
        <f t="shared" si="55"/>
        <v>206.07048000000003</v>
      </c>
      <c r="O470" s="128">
        <f t="shared" si="56"/>
        <v>58.877280000000013</v>
      </c>
      <c r="P470" s="159">
        <f t="shared" si="57"/>
        <v>206.1</v>
      </c>
      <c r="Q470" s="160">
        <f t="shared" si="58"/>
        <v>58.9</v>
      </c>
    </row>
    <row r="471" spans="1:17" ht="46.5" thickTop="1" thickBot="1">
      <c r="A471" s="12" t="s">
        <v>409</v>
      </c>
      <c r="B471" s="166">
        <v>552.20000000000005</v>
      </c>
      <c r="C471" s="10" t="s">
        <v>92</v>
      </c>
      <c r="D471" s="10">
        <f>B471/280*10</f>
        <v>19.721428571428572</v>
      </c>
      <c r="E471" s="11">
        <v>0.55000000000000004</v>
      </c>
      <c r="F471" s="27">
        <v>0.55000000000000004</v>
      </c>
      <c r="G471" s="109">
        <f t="shared" si="53"/>
        <v>0.15000000000000002</v>
      </c>
      <c r="H471" s="109">
        <v>0.15000000000000002</v>
      </c>
      <c r="I471" s="109">
        <v>0.55000000000000004</v>
      </c>
      <c r="J471" s="113">
        <f t="shared" si="54"/>
        <v>0.15000000000000002</v>
      </c>
      <c r="K471" s="12" t="s">
        <v>403</v>
      </c>
      <c r="L471" s="12" t="s">
        <v>404</v>
      </c>
      <c r="M471" s="129">
        <v>0.15000000000000002</v>
      </c>
      <c r="N471" s="142">
        <f t="shared" si="55"/>
        <v>374.17072000000013</v>
      </c>
      <c r="O471" s="128">
        <f t="shared" si="56"/>
        <v>102.04656000000004</v>
      </c>
      <c r="P471" s="159">
        <f t="shared" si="57"/>
        <v>374.2</v>
      </c>
      <c r="Q471" s="160">
        <f t="shared" si="58"/>
        <v>102</v>
      </c>
    </row>
    <row r="472" spans="1:17" ht="46.5" thickTop="1" thickBot="1">
      <c r="A472" s="12" t="s">
        <v>410</v>
      </c>
      <c r="B472" s="167">
        <v>574.5</v>
      </c>
      <c r="C472" s="10" t="s">
        <v>65</v>
      </c>
      <c r="D472" s="10">
        <f>B472/30/5*75</f>
        <v>287.25</v>
      </c>
      <c r="E472" s="87">
        <v>0.6</v>
      </c>
      <c r="F472" s="104">
        <v>0.6</v>
      </c>
      <c r="G472" s="109">
        <f t="shared" si="53"/>
        <v>0.19999999999999996</v>
      </c>
      <c r="H472" s="109">
        <v>0.19999999999999996</v>
      </c>
      <c r="I472" s="109">
        <v>0.6</v>
      </c>
      <c r="J472" s="113">
        <f t="shared" si="54"/>
        <v>0.19999999999999996</v>
      </c>
      <c r="K472" s="15" t="s">
        <v>411</v>
      </c>
      <c r="L472" s="15" t="s">
        <v>412</v>
      </c>
      <c r="M472" s="131">
        <v>0.19999999999999996</v>
      </c>
      <c r="N472" s="142">
        <f t="shared" si="55"/>
        <v>424.67040000000009</v>
      </c>
      <c r="O472" s="128">
        <f t="shared" si="56"/>
        <v>141.55680000000001</v>
      </c>
      <c r="P472" s="159">
        <f t="shared" si="57"/>
        <v>424.7</v>
      </c>
      <c r="Q472" s="160">
        <f t="shared" si="58"/>
        <v>141.6</v>
      </c>
    </row>
    <row r="473" spans="1:17" ht="46.5" thickTop="1" thickBot="1">
      <c r="A473" s="12" t="s">
        <v>410</v>
      </c>
      <c r="B473" s="166">
        <v>993.2</v>
      </c>
      <c r="C473" s="10" t="s">
        <v>65</v>
      </c>
      <c r="D473" s="10">
        <f>B473/30/10*75</f>
        <v>248.30000000000004</v>
      </c>
      <c r="E473" s="87">
        <v>0.6</v>
      </c>
      <c r="F473" s="104">
        <v>0.6</v>
      </c>
      <c r="G473" s="109">
        <f t="shared" si="53"/>
        <v>0.19999999999999996</v>
      </c>
      <c r="H473" s="109">
        <v>0.19999999999999996</v>
      </c>
      <c r="I473" s="109">
        <v>0.6</v>
      </c>
      <c r="J473" s="113">
        <f t="shared" si="54"/>
        <v>0.19999999999999996</v>
      </c>
      <c r="K473" s="15" t="s">
        <v>411</v>
      </c>
      <c r="L473" s="15" t="s">
        <v>412</v>
      </c>
      <c r="M473" s="131">
        <v>0.19999999999999996</v>
      </c>
      <c r="N473" s="142">
        <f t="shared" si="55"/>
        <v>734.17344000000003</v>
      </c>
      <c r="O473" s="128">
        <f t="shared" si="56"/>
        <v>244.72447999999997</v>
      </c>
      <c r="P473" s="159">
        <f t="shared" si="57"/>
        <v>734.2</v>
      </c>
      <c r="Q473" s="160">
        <f t="shared" si="58"/>
        <v>244.7</v>
      </c>
    </row>
    <row r="474" spans="1:17" ht="46.5" thickTop="1" thickBot="1">
      <c r="A474" s="12" t="s">
        <v>410</v>
      </c>
      <c r="B474" s="166">
        <v>1766.8</v>
      </c>
      <c r="C474" s="10" t="s">
        <v>65</v>
      </c>
      <c r="D474" s="10">
        <f>B474/30/20*75</f>
        <v>220.85</v>
      </c>
      <c r="E474" s="87">
        <v>0.6</v>
      </c>
      <c r="F474" s="104">
        <v>0.6</v>
      </c>
      <c r="G474" s="109">
        <f t="shared" si="53"/>
        <v>0.19999999999999996</v>
      </c>
      <c r="H474" s="109">
        <v>0.19999999999999996</v>
      </c>
      <c r="I474" s="109">
        <v>0.6</v>
      </c>
      <c r="J474" s="113">
        <f t="shared" si="54"/>
        <v>0.19999999999999996</v>
      </c>
      <c r="K474" s="15" t="s">
        <v>411</v>
      </c>
      <c r="L474" s="15" t="s">
        <v>412</v>
      </c>
      <c r="M474" s="131">
        <v>0.19999999999999996</v>
      </c>
      <c r="N474" s="142">
        <f t="shared" si="55"/>
        <v>1306.0185600000002</v>
      </c>
      <c r="O474" s="128">
        <f t="shared" si="56"/>
        <v>435.33951999999994</v>
      </c>
      <c r="P474" s="159">
        <f t="shared" si="57"/>
        <v>1306</v>
      </c>
      <c r="Q474" s="160">
        <f t="shared" si="58"/>
        <v>435.3</v>
      </c>
    </row>
    <row r="475" spans="1:17" ht="46.5" thickTop="1" thickBot="1">
      <c r="A475" s="12" t="s">
        <v>410</v>
      </c>
      <c r="B475" s="167">
        <v>3003</v>
      </c>
      <c r="C475" s="10" t="s">
        <v>65</v>
      </c>
      <c r="D475" s="10">
        <f>B475/30/40*75</f>
        <v>187.6875</v>
      </c>
      <c r="E475" s="87">
        <v>0.6</v>
      </c>
      <c r="F475" s="104">
        <v>0.6</v>
      </c>
      <c r="G475" s="109">
        <f t="shared" si="53"/>
        <v>0.19999999999999996</v>
      </c>
      <c r="H475" s="109">
        <v>0.19999999999999996</v>
      </c>
      <c r="I475" s="109">
        <v>0.6</v>
      </c>
      <c r="J475" s="113">
        <f t="shared" si="54"/>
        <v>0.19999999999999996</v>
      </c>
      <c r="K475" s="15" t="s">
        <v>411</v>
      </c>
      <c r="L475" s="15" t="s">
        <v>412</v>
      </c>
      <c r="M475" s="131">
        <v>0.19999999999999996</v>
      </c>
      <c r="N475" s="142">
        <f t="shared" si="55"/>
        <v>2219.8176000000003</v>
      </c>
      <c r="O475" s="128">
        <f t="shared" si="56"/>
        <v>739.93919999999991</v>
      </c>
      <c r="P475" s="159">
        <f t="shared" si="57"/>
        <v>2219.8000000000002</v>
      </c>
      <c r="Q475" s="160">
        <f t="shared" si="58"/>
        <v>739.9</v>
      </c>
    </row>
    <row r="476" spans="1:17" ht="147.75" thickTop="1" thickBot="1">
      <c r="A476" s="12" t="s">
        <v>413</v>
      </c>
      <c r="B476" s="166">
        <v>721.1</v>
      </c>
      <c r="C476" s="9" t="s">
        <v>414</v>
      </c>
      <c r="D476" s="10">
        <f>B476/5/4.2*1.2</f>
        <v>41.205714285714279</v>
      </c>
      <c r="E476" s="11">
        <v>0.75</v>
      </c>
      <c r="F476" s="27">
        <v>0.75</v>
      </c>
      <c r="G476" s="109">
        <f t="shared" si="53"/>
        <v>0.35</v>
      </c>
      <c r="H476" s="109">
        <v>0.35</v>
      </c>
      <c r="I476" s="109">
        <v>0.75</v>
      </c>
      <c r="J476" s="113">
        <f t="shared" si="54"/>
        <v>0.35</v>
      </c>
      <c r="K476" s="12" t="s">
        <v>415</v>
      </c>
      <c r="L476" s="12" t="s">
        <v>416</v>
      </c>
      <c r="M476" s="129">
        <v>0.35</v>
      </c>
      <c r="N476" s="142">
        <f t="shared" si="55"/>
        <v>666.29640000000018</v>
      </c>
      <c r="O476" s="128">
        <f t="shared" si="56"/>
        <v>310.93832000000003</v>
      </c>
      <c r="P476" s="159">
        <f t="shared" si="57"/>
        <v>666.3</v>
      </c>
      <c r="Q476" s="160">
        <f t="shared" si="58"/>
        <v>310.89999999999998</v>
      </c>
    </row>
    <row r="477" spans="1:17" ht="147.75" thickTop="1" thickBot="1">
      <c r="A477" s="12" t="s">
        <v>413</v>
      </c>
      <c r="B477" s="166">
        <v>1442</v>
      </c>
      <c r="C477" s="9" t="s">
        <v>414</v>
      </c>
      <c r="D477" s="10">
        <f>B477/5/8.4*1.2</f>
        <v>41.199999999999996</v>
      </c>
      <c r="E477" s="11">
        <v>0.75</v>
      </c>
      <c r="F477" s="27">
        <v>0.75</v>
      </c>
      <c r="G477" s="109">
        <f t="shared" si="53"/>
        <v>0.35</v>
      </c>
      <c r="H477" s="109">
        <v>0.35</v>
      </c>
      <c r="I477" s="109">
        <v>0.75</v>
      </c>
      <c r="J477" s="113">
        <f t="shared" si="54"/>
        <v>0.35</v>
      </c>
      <c r="K477" s="12" t="s">
        <v>415</v>
      </c>
      <c r="L477" s="12" t="s">
        <v>416</v>
      </c>
      <c r="M477" s="129">
        <v>0.35</v>
      </c>
      <c r="N477" s="142">
        <f t="shared" si="55"/>
        <v>1332.4080000000004</v>
      </c>
      <c r="O477" s="128">
        <f t="shared" si="56"/>
        <v>621.79040000000009</v>
      </c>
      <c r="P477" s="159">
        <f t="shared" si="57"/>
        <v>1332.4</v>
      </c>
      <c r="Q477" s="160">
        <f t="shared" si="58"/>
        <v>621.79999999999995</v>
      </c>
    </row>
    <row r="478" spans="1:17" ht="147.75" thickTop="1" thickBot="1">
      <c r="A478" s="12" t="s">
        <v>413</v>
      </c>
      <c r="B478" s="166">
        <v>2446.6</v>
      </c>
      <c r="C478" s="9" t="s">
        <v>414</v>
      </c>
      <c r="D478" s="10">
        <f>B478/5/12.6*1.2</f>
        <v>46.601904761904763</v>
      </c>
      <c r="E478" s="11">
        <v>0.8</v>
      </c>
      <c r="F478" s="27">
        <v>0.8</v>
      </c>
      <c r="G478" s="109">
        <f t="shared" si="53"/>
        <v>0.4</v>
      </c>
      <c r="H478" s="109">
        <v>0.4</v>
      </c>
      <c r="I478" s="109">
        <v>0.8</v>
      </c>
      <c r="J478" s="113">
        <f t="shared" si="54"/>
        <v>0.4</v>
      </c>
      <c r="K478" s="12" t="s">
        <v>415</v>
      </c>
      <c r="L478" s="12" t="s">
        <v>416</v>
      </c>
      <c r="M478" s="129">
        <v>0.4</v>
      </c>
      <c r="N478" s="142">
        <f t="shared" si="55"/>
        <v>2411.3689600000002</v>
      </c>
      <c r="O478" s="128">
        <f t="shared" si="56"/>
        <v>1205.6844800000001</v>
      </c>
      <c r="P478" s="159">
        <f t="shared" si="57"/>
        <v>2411.4</v>
      </c>
      <c r="Q478" s="160">
        <f t="shared" si="58"/>
        <v>1205.7</v>
      </c>
    </row>
    <row r="479" spans="1:17" ht="147.75" thickTop="1" thickBot="1">
      <c r="A479" s="12" t="s">
        <v>413</v>
      </c>
      <c r="B479" s="166">
        <v>2416.5</v>
      </c>
      <c r="C479" s="9" t="s">
        <v>414</v>
      </c>
      <c r="D479" s="10">
        <f>B479/5/16.8*1.2</f>
        <v>34.521428571428572</v>
      </c>
      <c r="E479" s="11">
        <v>0.75</v>
      </c>
      <c r="F479" s="27">
        <v>0.75</v>
      </c>
      <c r="G479" s="109">
        <f t="shared" si="53"/>
        <v>0.35</v>
      </c>
      <c r="H479" s="109">
        <v>0.35</v>
      </c>
      <c r="I479" s="109">
        <v>0.75</v>
      </c>
      <c r="J479" s="113">
        <f t="shared" si="54"/>
        <v>0.35</v>
      </c>
      <c r="K479" s="12" t="s">
        <v>415</v>
      </c>
      <c r="L479" s="12" t="s">
        <v>416</v>
      </c>
      <c r="M479" s="129">
        <v>0.35</v>
      </c>
      <c r="N479" s="142">
        <f t="shared" si="55"/>
        <v>2232.8460000000005</v>
      </c>
      <c r="O479" s="128">
        <f t="shared" si="56"/>
        <v>1041.9948000000002</v>
      </c>
      <c r="P479" s="159">
        <f t="shared" si="57"/>
        <v>2232.8000000000002</v>
      </c>
      <c r="Q479" s="160">
        <f t="shared" si="58"/>
        <v>1042</v>
      </c>
    </row>
    <row r="480" spans="1:17" ht="147.75" thickTop="1" thickBot="1">
      <c r="A480" s="12" t="s">
        <v>417</v>
      </c>
      <c r="B480" s="166">
        <v>721.1</v>
      </c>
      <c r="C480" s="9" t="s">
        <v>414</v>
      </c>
      <c r="D480" s="10">
        <f>B480/5/4.125*1.2</f>
        <v>41.954909090909091</v>
      </c>
      <c r="E480" s="11">
        <v>0.75</v>
      </c>
      <c r="F480" s="27">
        <v>0.75</v>
      </c>
      <c r="G480" s="109">
        <f t="shared" si="53"/>
        <v>0.35</v>
      </c>
      <c r="H480" s="109">
        <v>0.35</v>
      </c>
      <c r="I480" s="109">
        <v>0.75</v>
      </c>
      <c r="J480" s="113">
        <f t="shared" si="54"/>
        <v>0.35</v>
      </c>
      <c r="K480" s="12" t="s">
        <v>415</v>
      </c>
      <c r="L480" s="12" t="s">
        <v>416</v>
      </c>
      <c r="M480" s="129">
        <v>0.35</v>
      </c>
      <c r="N480" s="142">
        <f t="shared" si="55"/>
        <v>666.29640000000018</v>
      </c>
      <c r="O480" s="128">
        <f t="shared" si="56"/>
        <v>310.93832000000003</v>
      </c>
      <c r="P480" s="159">
        <f t="shared" si="57"/>
        <v>666.3</v>
      </c>
      <c r="Q480" s="160">
        <f t="shared" si="58"/>
        <v>310.89999999999998</v>
      </c>
    </row>
    <row r="481" spans="1:17" ht="147.75" thickTop="1" thickBot="1">
      <c r="A481" s="12" t="s">
        <v>417</v>
      </c>
      <c r="B481" s="166">
        <v>1442</v>
      </c>
      <c r="C481" s="9" t="s">
        <v>414</v>
      </c>
      <c r="D481" s="10">
        <f>B481/5/8.25*1.2</f>
        <v>41.949090909090906</v>
      </c>
      <c r="E481" s="11">
        <v>0.75</v>
      </c>
      <c r="F481" s="27">
        <v>0.75</v>
      </c>
      <c r="G481" s="109">
        <f t="shared" si="53"/>
        <v>0.35</v>
      </c>
      <c r="H481" s="109">
        <v>0.35</v>
      </c>
      <c r="I481" s="109">
        <v>0.75</v>
      </c>
      <c r="J481" s="113">
        <f t="shared" si="54"/>
        <v>0.35</v>
      </c>
      <c r="K481" s="12" t="s">
        <v>415</v>
      </c>
      <c r="L481" s="12" t="s">
        <v>416</v>
      </c>
      <c r="M481" s="129">
        <v>0.35</v>
      </c>
      <c r="N481" s="142">
        <f t="shared" si="55"/>
        <v>1332.4080000000004</v>
      </c>
      <c r="O481" s="128">
        <f t="shared" si="56"/>
        <v>621.79040000000009</v>
      </c>
      <c r="P481" s="159">
        <f t="shared" si="57"/>
        <v>1332.4</v>
      </c>
      <c r="Q481" s="160">
        <f t="shared" si="58"/>
        <v>621.79999999999995</v>
      </c>
    </row>
    <row r="482" spans="1:17" ht="147.75" thickTop="1" thickBot="1">
      <c r="A482" s="12" t="s">
        <v>417</v>
      </c>
      <c r="B482" s="166">
        <v>2379.6999999999998</v>
      </c>
      <c r="C482" s="9" t="s">
        <v>414</v>
      </c>
      <c r="D482" s="10">
        <f>B482/5/12.375*1.2</f>
        <v>46.151757575757571</v>
      </c>
      <c r="E482" s="11">
        <v>0.75</v>
      </c>
      <c r="F482" s="27">
        <v>0.75</v>
      </c>
      <c r="G482" s="109">
        <f t="shared" si="53"/>
        <v>0.35</v>
      </c>
      <c r="H482" s="109">
        <v>0.35</v>
      </c>
      <c r="I482" s="109">
        <v>0.75</v>
      </c>
      <c r="J482" s="113">
        <f t="shared" si="54"/>
        <v>0.35</v>
      </c>
      <c r="K482" s="12" t="s">
        <v>415</v>
      </c>
      <c r="L482" s="12" t="s">
        <v>418</v>
      </c>
      <c r="M482" s="129">
        <v>0.35</v>
      </c>
      <c r="N482" s="142">
        <f t="shared" si="55"/>
        <v>2198.8428000000004</v>
      </c>
      <c r="O482" s="128">
        <f t="shared" si="56"/>
        <v>1026.1266400000002</v>
      </c>
      <c r="P482" s="159">
        <f t="shared" si="57"/>
        <v>2198.8000000000002</v>
      </c>
      <c r="Q482" s="160">
        <f t="shared" si="58"/>
        <v>1026.0999999999999</v>
      </c>
    </row>
    <row r="483" spans="1:17" ht="147.75" thickTop="1" thickBot="1">
      <c r="A483" s="12" t="s">
        <v>417</v>
      </c>
      <c r="B483" s="166">
        <v>2416.5</v>
      </c>
      <c r="C483" s="9" t="s">
        <v>414</v>
      </c>
      <c r="D483" s="10">
        <f>B483/5/16.5*1.2</f>
        <v>35.149090909090908</v>
      </c>
      <c r="E483" s="11">
        <v>0.75</v>
      </c>
      <c r="F483" s="27">
        <v>0.75</v>
      </c>
      <c r="G483" s="109">
        <f t="shared" si="53"/>
        <v>0.35</v>
      </c>
      <c r="H483" s="109">
        <v>0.35</v>
      </c>
      <c r="I483" s="109">
        <v>0.75</v>
      </c>
      <c r="J483" s="113">
        <f t="shared" si="54"/>
        <v>0.35</v>
      </c>
      <c r="K483" s="12" t="s">
        <v>415</v>
      </c>
      <c r="L483" s="12" t="s">
        <v>419</v>
      </c>
      <c r="M483" s="129">
        <v>0.35</v>
      </c>
      <c r="N483" s="142">
        <f t="shared" si="55"/>
        <v>2232.8460000000005</v>
      </c>
      <c r="O483" s="128">
        <f t="shared" si="56"/>
        <v>1041.9948000000002</v>
      </c>
      <c r="P483" s="159">
        <f t="shared" si="57"/>
        <v>2232.8000000000002</v>
      </c>
      <c r="Q483" s="160">
        <f t="shared" si="58"/>
        <v>1042</v>
      </c>
    </row>
    <row r="484" spans="1:17" ht="57.75" thickTop="1" thickBot="1">
      <c r="A484" s="12" t="s">
        <v>420</v>
      </c>
      <c r="B484" s="167">
        <v>1076.8</v>
      </c>
      <c r="C484" s="47" t="s">
        <v>414</v>
      </c>
      <c r="D484" s="35">
        <f>+B484/4/20*1.2</f>
        <v>16.151999999999997</v>
      </c>
      <c r="E484" s="11">
        <v>0.85</v>
      </c>
      <c r="F484" s="27">
        <v>0.85</v>
      </c>
      <c r="G484" s="109">
        <f t="shared" si="53"/>
        <v>0.44999999999999996</v>
      </c>
      <c r="H484" s="109">
        <v>0.44999999999999996</v>
      </c>
      <c r="I484" s="109">
        <v>0.85</v>
      </c>
      <c r="J484" s="113">
        <f t="shared" si="54"/>
        <v>0.44999999999999996</v>
      </c>
      <c r="K484" s="15" t="s">
        <v>421</v>
      </c>
      <c r="L484" s="15" t="s">
        <v>412</v>
      </c>
      <c r="M484" s="131">
        <v>0.44999999999999996</v>
      </c>
      <c r="N484" s="142">
        <f t="shared" si="55"/>
        <v>1127.6249600000003</v>
      </c>
      <c r="O484" s="128">
        <f t="shared" si="56"/>
        <v>596.97792000000004</v>
      </c>
      <c r="P484" s="159">
        <f t="shared" si="57"/>
        <v>1127.5999999999999</v>
      </c>
      <c r="Q484" s="160">
        <f t="shared" si="58"/>
        <v>597</v>
      </c>
    </row>
    <row r="485" spans="1:17" ht="46.5" thickTop="1" thickBot="1">
      <c r="A485" s="12" t="s">
        <v>420</v>
      </c>
      <c r="B485" s="167">
        <v>1615.1</v>
      </c>
      <c r="C485" s="47" t="s">
        <v>414</v>
      </c>
      <c r="D485" s="35">
        <f>+B485/4/40*1.2</f>
        <v>12.113249999999999</v>
      </c>
      <c r="E485" s="11">
        <v>0.85</v>
      </c>
      <c r="F485" s="27">
        <v>0.85</v>
      </c>
      <c r="G485" s="109">
        <f t="shared" si="53"/>
        <v>0.44999999999999996</v>
      </c>
      <c r="H485" s="109">
        <v>0.44999999999999996</v>
      </c>
      <c r="I485" s="109">
        <v>0.85</v>
      </c>
      <c r="J485" s="113">
        <f t="shared" si="54"/>
        <v>0.44999999999999996</v>
      </c>
      <c r="K485" s="15" t="s">
        <v>422</v>
      </c>
      <c r="L485" s="15" t="s">
        <v>412</v>
      </c>
      <c r="M485" s="131">
        <v>0.44999999999999996</v>
      </c>
      <c r="N485" s="142">
        <f t="shared" si="55"/>
        <v>1691.3327200000001</v>
      </c>
      <c r="O485" s="128">
        <f t="shared" si="56"/>
        <v>895.41143999999997</v>
      </c>
      <c r="P485" s="159">
        <f t="shared" si="57"/>
        <v>1691.3</v>
      </c>
      <c r="Q485" s="160">
        <f t="shared" si="58"/>
        <v>895.4</v>
      </c>
    </row>
    <row r="486" spans="1:17" ht="46.5" thickTop="1" thickBot="1">
      <c r="A486" s="12" t="s">
        <v>420</v>
      </c>
      <c r="B486" s="167">
        <v>2435.6999999999998</v>
      </c>
      <c r="C486" s="47" t="s">
        <v>414</v>
      </c>
      <c r="D486" s="35">
        <f>+B486/4/40*1.2</f>
        <v>18.267749999999999</v>
      </c>
      <c r="E486" s="11">
        <v>0.85</v>
      </c>
      <c r="F486" s="27">
        <v>0.85</v>
      </c>
      <c r="G486" s="109">
        <f t="shared" si="53"/>
        <v>0.44999999999999996</v>
      </c>
      <c r="H486" s="109">
        <v>0.44999999999999996</v>
      </c>
      <c r="I486" s="109">
        <v>0.85</v>
      </c>
      <c r="J486" s="113">
        <f t="shared" si="54"/>
        <v>0.44999999999999996</v>
      </c>
      <c r="K486" s="15" t="s">
        <v>422</v>
      </c>
      <c r="L486" s="15" t="s">
        <v>423</v>
      </c>
      <c r="M486" s="131">
        <v>0.44999999999999996</v>
      </c>
      <c r="N486" s="142">
        <f t="shared" si="55"/>
        <v>2550.6650400000003</v>
      </c>
      <c r="O486" s="128">
        <f t="shared" si="56"/>
        <v>1350.3520799999999</v>
      </c>
      <c r="P486" s="159">
        <f t="shared" si="57"/>
        <v>2550.6999999999998</v>
      </c>
      <c r="Q486" s="160">
        <f t="shared" si="58"/>
        <v>1350.4</v>
      </c>
    </row>
    <row r="487" spans="1:17" ht="46.5" thickTop="1" thickBot="1">
      <c r="A487" s="41" t="s">
        <v>424</v>
      </c>
      <c r="B487" s="167">
        <v>1498.1000000000001</v>
      </c>
      <c r="C487" s="9" t="s">
        <v>348</v>
      </c>
      <c r="D487" s="35">
        <f>B487/30/50*400</f>
        <v>399.4933333333334</v>
      </c>
      <c r="E487" s="42">
        <v>0.75</v>
      </c>
      <c r="F487" s="97">
        <v>0.75</v>
      </c>
      <c r="G487" s="109">
        <f t="shared" si="53"/>
        <v>0.35</v>
      </c>
      <c r="H487" s="109">
        <v>0.35</v>
      </c>
      <c r="I487" s="109">
        <v>0.75</v>
      </c>
      <c r="J487" s="113">
        <f t="shared" si="54"/>
        <v>0.35</v>
      </c>
      <c r="K487" s="41" t="s">
        <v>425</v>
      </c>
      <c r="L487" s="41" t="s">
        <v>412</v>
      </c>
      <c r="M487" s="130">
        <v>0.35</v>
      </c>
      <c r="N487" s="142">
        <f t="shared" si="55"/>
        <v>1384.2444000000003</v>
      </c>
      <c r="O487" s="128">
        <f t="shared" si="56"/>
        <v>645.98072000000013</v>
      </c>
      <c r="P487" s="159">
        <f t="shared" si="57"/>
        <v>1384.2</v>
      </c>
      <c r="Q487" s="160">
        <f t="shared" si="58"/>
        <v>646</v>
      </c>
    </row>
    <row r="488" spans="1:17" ht="46.5" thickTop="1" thickBot="1">
      <c r="A488" s="41" t="s">
        <v>424</v>
      </c>
      <c r="B488" s="167">
        <v>2603.5</v>
      </c>
      <c r="C488" s="9" t="s">
        <v>348</v>
      </c>
      <c r="D488" s="35">
        <f>B488/30/100*400</f>
        <v>347.13333333333333</v>
      </c>
      <c r="E488" s="42">
        <v>0.75</v>
      </c>
      <c r="F488" s="97">
        <v>0.75</v>
      </c>
      <c r="G488" s="109">
        <f t="shared" si="53"/>
        <v>0.35</v>
      </c>
      <c r="H488" s="109">
        <v>0.35</v>
      </c>
      <c r="I488" s="109">
        <v>0.75</v>
      </c>
      <c r="J488" s="113">
        <f t="shared" si="54"/>
        <v>0.35</v>
      </c>
      <c r="K488" s="41" t="s">
        <v>425</v>
      </c>
      <c r="L488" s="41" t="s">
        <v>412</v>
      </c>
      <c r="M488" s="130">
        <v>0.35</v>
      </c>
      <c r="N488" s="142">
        <f t="shared" si="55"/>
        <v>2405.6340000000005</v>
      </c>
      <c r="O488" s="128">
        <f t="shared" si="56"/>
        <v>1122.6292000000001</v>
      </c>
      <c r="P488" s="159">
        <f t="shared" si="57"/>
        <v>2405.6</v>
      </c>
      <c r="Q488" s="160">
        <f t="shared" si="58"/>
        <v>1122.5999999999999</v>
      </c>
    </row>
    <row r="489" spans="1:17" ht="46.5" thickTop="1" thickBot="1">
      <c r="A489" s="41" t="s">
        <v>424</v>
      </c>
      <c r="B489" s="167">
        <v>3801.5</v>
      </c>
      <c r="C489" s="9" t="s">
        <v>348</v>
      </c>
      <c r="D489" s="35">
        <f>B489/30/150*400</f>
        <v>337.9111111111111</v>
      </c>
      <c r="E489" s="42">
        <v>0.75</v>
      </c>
      <c r="F489" s="97">
        <v>0.75</v>
      </c>
      <c r="G489" s="109">
        <f t="shared" si="53"/>
        <v>0.35</v>
      </c>
      <c r="H489" s="109">
        <v>0.35</v>
      </c>
      <c r="I489" s="109">
        <v>0.75</v>
      </c>
      <c r="J489" s="113">
        <f t="shared" si="54"/>
        <v>0.35</v>
      </c>
      <c r="K489" s="41" t="s">
        <v>425</v>
      </c>
      <c r="L489" s="41" t="s">
        <v>412</v>
      </c>
      <c r="M489" s="130">
        <v>0.35</v>
      </c>
      <c r="N489" s="142">
        <f t="shared" si="55"/>
        <v>3512.5860000000007</v>
      </c>
      <c r="O489" s="128">
        <f t="shared" si="56"/>
        <v>1639.2068000000002</v>
      </c>
      <c r="P489" s="159">
        <f t="shared" si="57"/>
        <v>3512.6</v>
      </c>
      <c r="Q489" s="160">
        <f t="shared" si="58"/>
        <v>1639.2</v>
      </c>
    </row>
    <row r="490" spans="1:17" ht="46.5" thickTop="1" thickBot="1">
      <c r="A490" s="12" t="s">
        <v>426</v>
      </c>
      <c r="B490" s="167">
        <v>1688.6000000000001</v>
      </c>
      <c r="C490" s="9" t="s">
        <v>348</v>
      </c>
      <c r="D490" s="35">
        <f>B490/30/50*400</f>
        <v>450.29333333333341</v>
      </c>
      <c r="E490" s="11">
        <v>0.75</v>
      </c>
      <c r="F490" s="27">
        <v>0.75</v>
      </c>
      <c r="G490" s="109">
        <f t="shared" si="53"/>
        <v>0.35</v>
      </c>
      <c r="H490" s="109">
        <v>0.35</v>
      </c>
      <c r="I490" s="109">
        <v>0.75</v>
      </c>
      <c r="J490" s="113">
        <f t="shared" si="54"/>
        <v>0.35</v>
      </c>
      <c r="K490" s="41" t="s">
        <v>427</v>
      </c>
      <c r="L490" s="41" t="s">
        <v>412</v>
      </c>
      <c r="M490" s="130">
        <v>0.35</v>
      </c>
      <c r="N490" s="142">
        <f t="shared" si="55"/>
        <v>1560.2664000000004</v>
      </c>
      <c r="O490" s="128">
        <f t="shared" si="56"/>
        <v>728.12432000000013</v>
      </c>
      <c r="P490" s="159">
        <f t="shared" si="57"/>
        <v>1560.3</v>
      </c>
      <c r="Q490" s="160">
        <f t="shared" si="58"/>
        <v>728.1</v>
      </c>
    </row>
    <row r="491" spans="1:17" ht="24" thickTop="1" thickBot="1">
      <c r="A491" s="12" t="s">
        <v>428</v>
      </c>
      <c r="B491" s="167">
        <v>222.5</v>
      </c>
      <c r="C491" s="9" t="s">
        <v>112</v>
      </c>
      <c r="D491" s="10">
        <f>B491/2/50*50</f>
        <v>111.25</v>
      </c>
      <c r="E491" s="11">
        <v>0.5</v>
      </c>
      <c r="F491" s="27">
        <v>0.5</v>
      </c>
      <c r="G491" s="109">
        <f t="shared" si="53"/>
        <v>9.9999999999999978E-2</v>
      </c>
      <c r="H491" s="109">
        <v>9.9999999999999978E-2</v>
      </c>
      <c r="I491" s="109">
        <v>0.5</v>
      </c>
      <c r="J491" s="113">
        <f t="shared" si="54"/>
        <v>9.9999999999999978E-2</v>
      </c>
      <c r="K491" s="12" t="s">
        <v>429</v>
      </c>
      <c r="L491" s="12" t="s">
        <v>430</v>
      </c>
      <c r="M491" s="129">
        <v>9.9999999999999978E-2</v>
      </c>
      <c r="N491" s="142">
        <f t="shared" si="55"/>
        <v>137.06000000000003</v>
      </c>
      <c r="O491" s="128">
        <f t="shared" si="56"/>
        <v>27.411999999999999</v>
      </c>
      <c r="P491" s="159">
        <f t="shared" si="57"/>
        <v>137.1</v>
      </c>
      <c r="Q491" s="160">
        <f t="shared" si="58"/>
        <v>27.4</v>
      </c>
    </row>
    <row r="492" spans="1:17" ht="24" thickTop="1" thickBot="1">
      <c r="A492" s="12" t="s">
        <v>431</v>
      </c>
      <c r="B492" s="166">
        <v>354.5</v>
      </c>
      <c r="C492" s="9" t="s">
        <v>85</v>
      </c>
      <c r="D492" s="10">
        <f>+(B492/3)/2.5*2.5</f>
        <v>118.16666666666666</v>
      </c>
      <c r="E492" s="11">
        <v>0.55000000000000004</v>
      </c>
      <c r="F492" s="27">
        <v>0.55000000000000004</v>
      </c>
      <c r="G492" s="109">
        <f t="shared" si="53"/>
        <v>0.15000000000000002</v>
      </c>
      <c r="H492" s="109">
        <v>0.15000000000000002</v>
      </c>
      <c r="I492" s="109">
        <v>0.55000000000000004</v>
      </c>
      <c r="J492" s="113">
        <f t="shared" si="54"/>
        <v>0.15000000000000002</v>
      </c>
      <c r="K492" s="15" t="s">
        <v>432</v>
      </c>
      <c r="L492" s="15" t="s">
        <v>430</v>
      </c>
      <c r="M492" s="131">
        <v>0.15000000000000002</v>
      </c>
      <c r="N492" s="142">
        <f t="shared" si="55"/>
        <v>240.20920000000007</v>
      </c>
      <c r="O492" s="128">
        <f t="shared" si="56"/>
        <v>65.51160000000003</v>
      </c>
      <c r="P492" s="159">
        <f t="shared" si="57"/>
        <v>240.2</v>
      </c>
      <c r="Q492" s="160">
        <f t="shared" si="58"/>
        <v>65.5</v>
      </c>
    </row>
    <row r="493" spans="1:17" ht="24" thickTop="1" thickBot="1">
      <c r="A493" s="12" t="s">
        <v>433</v>
      </c>
      <c r="B493" s="166">
        <v>390.2</v>
      </c>
      <c r="C493" s="9" t="s">
        <v>85</v>
      </c>
      <c r="D493" s="10">
        <f>+B493/2/2.5*2.5</f>
        <v>195.09999999999997</v>
      </c>
      <c r="E493" s="11">
        <v>0.85</v>
      </c>
      <c r="F493" s="27">
        <v>0.85</v>
      </c>
      <c r="G493" s="109">
        <f t="shared" si="53"/>
        <v>0.44999999999999996</v>
      </c>
      <c r="H493" s="109">
        <v>0.44999999999999996</v>
      </c>
      <c r="I493" s="109">
        <v>0.85</v>
      </c>
      <c r="J493" s="113">
        <f t="shared" si="54"/>
        <v>0.44999999999999996</v>
      </c>
      <c r="K493" s="12" t="s">
        <v>434</v>
      </c>
      <c r="L493" s="12" t="s">
        <v>435</v>
      </c>
      <c r="M493" s="129">
        <v>0.44999999999999996</v>
      </c>
      <c r="N493" s="142">
        <f t="shared" si="55"/>
        <v>408.61743999999999</v>
      </c>
      <c r="O493" s="128">
        <f t="shared" si="56"/>
        <v>216.32688000000002</v>
      </c>
      <c r="P493" s="159">
        <f t="shared" si="57"/>
        <v>408.6</v>
      </c>
      <c r="Q493" s="160">
        <f t="shared" si="58"/>
        <v>216.3</v>
      </c>
    </row>
    <row r="494" spans="1:17" ht="46.5" thickTop="1" thickBot="1">
      <c r="A494" s="12" t="s">
        <v>436</v>
      </c>
      <c r="B494" s="166">
        <v>595.20000000000005</v>
      </c>
      <c r="C494" s="9" t="s">
        <v>437</v>
      </c>
      <c r="D494" s="10">
        <f>B494/50/300*1800</f>
        <v>71.424000000000007</v>
      </c>
      <c r="E494" s="11">
        <v>0.85</v>
      </c>
      <c r="F494" s="27">
        <v>0.85</v>
      </c>
      <c r="G494" s="109">
        <f t="shared" si="53"/>
        <v>0.44999999999999996</v>
      </c>
      <c r="H494" s="109">
        <v>0.44999999999999996</v>
      </c>
      <c r="I494" s="109">
        <v>0.85</v>
      </c>
      <c r="J494" s="113">
        <f t="shared" si="54"/>
        <v>0.44999999999999996</v>
      </c>
      <c r="K494" s="51" t="s">
        <v>438</v>
      </c>
      <c r="L494" s="51" t="s">
        <v>439</v>
      </c>
      <c r="M494" s="136">
        <v>0.44999999999999996</v>
      </c>
      <c r="N494" s="142">
        <f t="shared" si="55"/>
        <v>623.29344000000015</v>
      </c>
      <c r="O494" s="128">
        <f t="shared" si="56"/>
        <v>329.97888</v>
      </c>
      <c r="P494" s="159">
        <f t="shared" si="57"/>
        <v>623.29999999999995</v>
      </c>
      <c r="Q494" s="160">
        <f t="shared" si="58"/>
        <v>330</v>
      </c>
    </row>
    <row r="495" spans="1:17" ht="46.5" thickTop="1" thickBot="1">
      <c r="A495" s="12" t="s">
        <v>440</v>
      </c>
      <c r="B495" s="166">
        <v>595.20000000000005</v>
      </c>
      <c r="C495" s="9" t="s">
        <v>437</v>
      </c>
      <c r="D495" s="10">
        <f>B495/50/300*1800</f>
        <v>71.424000000000007</v>
      </c>
      <c r="E495" s="11">
        <v>0.85</v>
      </c>
      <c r="F495" s="27">
        <v>0.85</v>
      </c>
      <c r="G495" s="109">
        <f t="shared" si="53"/>
        <v>0.44999999999999996</v>
      </c>
      <c r="H495" s="109">
        <v>0.44999999999999996</v>
      </c>
      <c r="I495" s="109">
        <v>0.85</v>
      </c>
      <c r="J495" s="113">
        <f t="shared" si="54"/>
        <v>0.44999999999999996</v>
      </c>
      <c r="K495" s="51" t="s">
        <v>438</v>
      </c>
      <c r="L495" s="51" t="s">
        <v>439</v>
      </c>
      <c r="M495" s="136">
        <v>0.44999999999999996</v>
      </c>
      <c r="N495" s="142">
        <f t="shared" si="55"/>
        <v>623.29344000000015</v>
      </c>
      <c r="O495" s="128">
        <f t="shared" si="56"/>
        <v>329.97888</v>
      </c>
      <c r="P495" s="159">
        <f t="shared" si="57"/>
        <v>623.29999999999995</v>
      </c>
      <c r="Q495" s="160">
        <f t="shared" si="58"/>
        <v>330</v>
      </c>
    </row>
    <row r="496" spans="1:17" ht="170.25" thickTop="1" thickBot="1">
      <c r="A496" s="16" t="s">
        <v>441</v>
      </c>
      <c r="B496" s="167">
        <v>876.8</v>
      </c>
      <c r="C496" s="22" t="s">
        <v>28</v>
      </c>
      <c r="D496" s="29">
        <f>B496/60/250*1500</f>
        <v>87.68</v>
      </c>
      <c r="E496" s="11">
        <v>0.3</v>
      </c>
      <c r="F496" s="27">
        <v>0.3</v>
      </c>
      <c r="G496" s="109">
        <f t="shared" si="53"/>
        <v>0.1</v>
      </c>
      <c r="H496" s="109">
        <v>0.1</v>
      </c>
      <c r="I496" s="109">
        <v>0.3</v>
      </c>
      <c r="J496" s="113">
        <f t="shared" si="54"/>
        <v>0.1</v>
      </c>
      <c r="K496" s="64" t="s">
        <v>442</v>
      </c>
      <c r="L496" s="12" t="s">
        <v>443</v>
      </c>
      <c r="M496" s="129">
        <v>0.1</v>
      </c>
      <c r="N496" s="142">
        <f t="shared" si="55"/>
        <v>324.06528000000003</v>
      </c>
      <c r="O496" s="128">
        <f t="shared" si="56"/>
        <v>108.02176000000003</v>
      </c>
      <c r="P496" s="159">
        <f t="shared" si="57"/>
        <v>324.10000000000002</v>
      </c>
      <c r="Q496" s="160">
        <f t="shared" si="58"/>
        <v>108</v>
      </c>
    </row>
    <row r="497" spans="1:17" ht="170.25" thickTop="1" thickBot="1">
      <c r="A497" s="16" t="s">
        <v>441</v>
      </c>
      <c r="B497" s="167">
        <v>1604.8</v>
      </c>
      <c r="C497" s="22" t="s">
        <v>28</v>
      </c>
      <c r="D497" s="29">
        <f>B497/60/500*1500</f>
        <v>80.239999999999995</v>
      </c>
      <c r="E497" s="11">
        <v>0.3</v>
      </c>
      <c r="F497" s="27">
        <v>0.3</v>
      </c>
      <c r="G497" s="109">
        <f t="shared" si="53"/>
        <v>0.1</v>
      </c>
      <c r="H497" s="109">
        <v>0.1</v>
      </c>
      <c r="I497" s="109">
        <v>0.3</v>
      </c>
      <c r="J497" s="113">
        <f t="shared" si="54"/>
        <v>0.1</v>
      </c>
      <c r="K497" s="64" t="s">
        <v>442</v>
      </c>
      <c r="L497" s="12" t="s">
        <v>443</v>
      </c>
      <c r="M497" s="129">
        <v>0.1</v>
      </c>
      <c r="N497" s="142">
        <f t="shared" si="55"/>
        <v>593.13408000000004</v>
      </c>
      <c r="O497" s="128">
        <f t="shared" si="56"/>
        <v>197.71136000000007</v>
      </c>
      <c r="P497" s="159">
        <f t="shared" si="57"/>
        <v>593.1</v>
      </c>
      <c r="Q497" s="160">
        <f t="shared" si="58"/>
        <v>197.7</v>
      </c>
    </row>
    <row r="498" spans="1:17" ht="170.25" thickTop="1" thickBot="1">
      <c r="A498" s="16" t="s">
        <v>441</v>
      </c>
      <c r="B498" s="167">
        <v>2617.5</v>
      </c>
      <c r="C498" s="22" t="s">
        <v>28</v>
      </c>
      <c r="D498" s="29">
        <f>B498/60/1000*1500</f>
        <v>65.4375</v>
      </c>
      <c r="E498" s="11">
        <v>0.25</v>
      </c>
      <c r="F498" s="27">
        <v>0.25</v>
      </c>
      <c r="G498" s="109">
        <f t="shared" si="53"/>
        <v>0.1</v>
      </c>
      <c r="H498" s="109">
        <v>0.1</v>
      </c>
      <c r="I498" s="109">
        <v>0.25</v>
      </c>
      <c r="J498" s="113">
        <f t="shared" si="54"/>
        <v>0.1</v>
      </c>
      <c r="K498" s="64" t="s">
        <v>442</v>
      </c>
      <c r="L498" s="12" t="s">
        <v>443</v>
      </c>
      <c r="M498" s="129">
        <v>0.1</v>
      </c>
      <c r="N498" s="142">
        <f t="shared" si="55"/>
        <v>806.19000000000017</v>
      </c>
      <c r="O498" s="128">
        <f t="shared" si="56"/>
        <v>322.47600000000006</v>
      </c>
      <c r="P498" s="159">
        <f t="shared" si="57"/>
        <v>806.2</v>
      </c>
      <c r="Q498" s="160">
        <f t="shared" si="58"/>
        <v>322.5</v>
      </c>
    </row>
    <row r="499" spans="1:17" ht="35.25" thickTop="1" thickBot="1">
      <c r="A499" s="12" t="s">
        <v>444</v>
      </c>
      <c r="B499" s="166">
        <v>275.3</v>
      </c>
      <c r="C499" s="22" t="s">
        <v>354</v>
      </c>
      <c r="D499" s="29">
        <f>+B499/56/25*300</f>
        <v>58.992857142857147</v>
      </c>
      <c r="E499" s="11">
        <v>0.85</v>
      </c>
      <c r="F499" s="27">
        <v>0.85</v>
      </c>
      <c r="G499" s="109">
        <f t="shared" si="53"/>
        <v>0.44999999999999996</v>
      </c>
      <c r="H499" s="109">
        <v>0.44999999999999996</v>
      </c>
      <c r="I499" s="109">
        <v>0.85</v>
      </c>
      <c r="J499" s="113">
        <f t="shared" si="54"/>
        <v>0.44999999999999996</v>
      </c>
      <c r="K499" s="51" t="s">
        <v>445</v>
      </c>
      <c r="L499" s="51" t="s">
        <v>446</v>
      </c>
      <c r="M499" s="136">
        <v>0.44999999999999996</v>
      </c>
      <c r="N499" s="142">
        <f t="shared" si="55"/>
        <v>288.29416000000003</v>
      </c>
      <c r="O499" s="128">
        <f t="shared" si="56"/>
        <v>152.62632000000002</v>
      </c>
      <c r="P499" s="159">
        <f t="shared" si="57"/>
        <v>288.3</v>
      </c>
      <c r="Q499" s="160">
        <f t="shared" si="58"/>
        <v>152.6</v>
      </c>
    </row>
    <row r="500" spans="1:17" ht="35.25" thickTop="1" thickBot="1">
      <c r="A500" s="12" t="s">
        <v>444</v>
      </c>
      <c r="B500" s="167">
        <v>670.1</v>
      </c>
      <c r="C500" s="9" t="s">
        <v>354</v>
      </c>
      <c r="D500" s="10">
        <f>B500/56/75*300</f>
        <v>47.864285714285714</v>
      </c>
      <c r="E500" s="11">
        <v>0.85</v>
      </c>
      <c r="F500" s="27">
        <v>0.85</v>
      </c>
      <c r="G500" s="109">
        <f t="shared" si="53"/>
        <v>0.44999999999999996</v>
      </c>
      <c r="H500" s="109">
        <v>0.44999999999999996</v>
      </c>
      <c r="I500" s="109">
        <v>0.85</v>
      </c>
      <c r="J500" s="113">
        <f t="shared" si="54"/>
        <v>0.44999999999999996</v>
      </c>
      <c r="K500" s="51" t="s">
        <v>445</v>
      </c>
      <c r="L500" s="51" t="s">
        <v>446</v>
      </c>
      <c r="M500" s="136">
        <v>0.44999999999999996</v>
      </c>
      <c r="N500" s="142">
        <f t="shared" si="55"/>
        <v>701.72872000000018</v>
      </c>
      <c r="O500" s="128">
        <f t="shared" si="56"/>
        <v>371.50344000000001</v>
      </c>
      <c r="P500" s="159">
        <f t="shared" si="57"/>
        <v>701.7</v>
      </c>
      <c r="Q500" s="160">
        <f t="shared" si="58"/>
        <v>371.5</v>
      </c>
    </row>
    <row r="501" spans="1:17" ht="35.25" thickTop="1" thickBot="1">
      <c r="A501" s="12" t="s">
        <v>444</v>
      </c>
      <c r="B501" s="167">
        <v>1149.5</v>
      </c>
      <c r="C501" s="9" t="s">
        <v>354</v>
      </c>
      <c r="D501" s="10">
        <f>B501/56/150*300</f>
        <v>41.053571428571431</v>
      </c>
      <c r="E501" s="11">
        <v>0.85</v>
      </c>
      <c r="F501" s="27">
        <v>0.85</v>
      </c>
      <c r="G501" s="109">
        <f t="shared" si="53"/>
        <v>0.44999999999999996</v>
      </c>
      <c r="H501" s="109">
        <v>0.44999999999999996</v>
      </c>
      <c r="I501" s="109">
        <v>0.85</v>
      </c>
      <c r="J501" s="113">
        <f t="shared" si="54"/>
        <v>0.44999999999999996</v>
      </c>
      <c r="K501" s="51" t="s">
        <v>445</v>
      </c>
      <c r="L501" s="51" t="s">
        <v>446</v>
      </c>
      <c r="M501" s="136">
        <v>0.44999999999999996</v>
      </c>
      <c r="N501" s="142">
        <f t="shared" si="55"/>
        <v>1203.7564000000002</v>
      </c>
      <c r="O501" s="128">
        <f t="shared" si="56"/>
        <v>637.28280000000018</v>
      </c>
      <c r="P501" s="159">
        <f t="shared" si="57"/>
        <v>1203.8</v>
      </c>
      <c r="Q501" s="160">
        <f t="shared" si="58"/>
        <v>637.29999999999995</v>
      </c>
    </row>
    <row r="502" spans="1:17" ht="35.25" thickTop="1" thickBot="1">
      <c r="A502" s="12" t="s">
        <v>444</v>
      </c>
      <c r="B502" s="167">
        <v>2209.6</v>
      </c>
      <c r="C502" s="9" t="s">
        <v>354</v>
      </c>
      <c r="D502" s="10">
        <f>B502/56/300*300</f>
        <v>39.457142857142856</v>
      </c>
      <c r="E502" s="11">
        <v>0.85</v>
      </c>
      <c r="F502" s="27">
        <v>0.85</v>
      </c>
      <c r="G502" s="109">
        <f t="shared" si="53"/>
        <v>0.44999999999999996</v>
      </c>
      <c r="H502" s="109">
        <v>0.44999999999999996</v>
      </c>
      <c r="I502" s="109">
        <v>0.85</v>
      </c>
      <c r="J502" s="113">
        <f t="shared" si="54"/>
        <v>0.44999999999999996</v>
      </c>
      <c r="K502" s="51" t="s">
        <v>445</v>
      </c>
      <c r="L502" s="51" t="s">
        <v>446</v>
      </c>
      <c r="M502" s="136">
        <v>0.44999999999999996</v>
      </c>
      <c r="N502" s="142">
        <f t="shared" si="55"/>
        <v>2313.8931200000002</v>
      </c>
      <c r="O502" s="128">
        <f t="shared" si="56"/>
        <v>1225.0022399999998</v>
      </c>
      <c r="P502" s="159">
        <f t="shared" si="57"/>
        <v>2313.9</v>
      </c>
      <c r="Q502" s="160">
        <f t="shared" si="58"/>
        <v>1225</v>
      </c>
    </row>
    <row r="503" spans="1:17" ht="35.25" thickTop="1" thickBot="1">
      <c r="A503" s="12" t="s">
        <v>447</v>
      </c>
      <c r="B503" s="166">
        <v>717.9</v>
      </c>
      <c r="C503" s="9" t="s">
        <v>354</v>
      </c>
      <c r="D503" s="10">
        <f>B503/60/75*300</f>
        <v>47.86</v>
      </c>
      <c r="E503" s="11">
        <v>0.85</v>
      </c>
      <c r="F503" s="27">
        <v>0.85</v>
      </c>
      <c r="G503" s="109">
        <f t="shared" si="53"/>
        <v>0.44999999999999996</v>
      </c>
      <c r="H503" s="109">
        <v>0.44999999999999996</v>
      </c>
      <c r="I503" s="109">
        <v>0.85</v>
      </c>
      <c r="J503" s="113">
        <f t="shared" si="54"/>
        <v>0.44999999999999996</v>
      </c>
      <c r="K503" s="65" t="s">
        <v>448</v>
      </c>
      <c r="L503" s="51" t="s">
        <v>446</v>
      </c>
      <c r="M503" s="136">
        <v>0.44999999999999996</v>
      </c>
      <c r="N503" s="142">
        <f t="shared" si="55"/>
        <v>751.78488000000004</v>
      </c>
      <c r="O503" s="128">
        <f t="shared" si="56"/>
        <v>398.00376</v>
      </c>
      <c r="P503" s="159">
        <f t="shared" si="57"/>
        <v>751.8</v>
      </c>
      <c r="Q503" s="160">
        <f t="shared" si="58"/>
        <v>398</v>
      </c>
    </row>
    <row r="504" spans="1:17" ht="35.25" thickTop="1" thickBot="1">
      <c r="A504" s="12" t="s">
        <v>447</v>
      </c>
      <c r="B504" s="166">
        <v>1231.5999999999999</v>
      </c>
      <c r="C504" s="9" t="s">
        <v>354</v>
      </c>
      <c r="D504" s="10">
        <f>B504/60/150*300</f>
        <v>41.053333333333327</v>
      </c>
      <c r="E504" s="11">
        <v>0.85</v>
      </c>
      <c r="F504" s="27">
        <v>0.85</v>
      </c>
      <c r="G504" s="109">
        <f t="shared" si="53"/>
        <v>0.44999999999999996</v>
      </c>
      <c r="H504" s="109">
        <v>0.44999999999999996</v>
      </c>
      <c r="I504" s="109">
        <v>0.85</v>
      </c>
      <c r="J504" s="113">
        <f t="shared" si="54"/>
        <v>0.44999999999999996</v>
      </c>
      <c r="K504" s="65" t="s">
        <v>448</v>
      </c>
      <c r="L504" s="51" t="s">
        <v>446</v>
      </c>
      <c r="M504" s="136">
        <v>0.44999999999999996</v>
      </c>
      <c r="N504" s="142">
        <f t="shared" si="55"/>
        <v>1289.73152</v>
      </c>
      <c r="O504" s="128">
        <f t="shared" si="56"/>
        <v>682.7990400000001</v>
      </c>
      <c r="P504" s="159">
        <f t="shared" si="57"/>
        <v>1289.7</v>
      </c>
      <c r="Q504" s="160">
        <f t="shared" si="58"/>
        <v>682.8</v>
      </c>
    </row>
    <row r="505" spans="1:17" ht="35.25" thickTop="1" thickBot="1">
      <c r="A505" s="12" t="s">
        <v>447</v>
      </c>
      <c r="B505" s="170">
        <v>1760.8</v>
      </c>
      <c r="C505" s="9" t="s">
        <v>354</v>
      </c>
      <c r="D505" s="27">
        <f>B505/90/50*300</f>
        <v>117.38666666666666</v>
      </c>
      <c r="E505" s="11">
        <v>0.85</v>
      </c>
      <c r="F505" s="27">
        <v>0.85</v>
      </c>
      <c r="G505" s="109">
        <f t="shared" si="53"/>
        <v>0.44999999999999996</v>
      </c>
      <c r="H505" s="109">
        <v>0.44999999999999996</v>
      </c>
      <c r="I505" s="109">
        <v>0.85</v>
      </c>
      <c r="J505" s="113">
        <f t="shared" si="54"/>
        <v>0.44999999999999996</v>
      </c>
      <c r="K505" s="65" t="s">
        <v>448</v>
      </c>
      <c r="L505" s="51" t="s">
        <v>446</v>
      </c>
      <c r="M505" s="136">
        <v>0.44999999999999996</v>
      </c>
      <c r="N505" s="142">
        <f t="shared" si="55"/>
        <v>1843.9097600000002</v>
      </c>
      <c r="O505" s="128">
        <f t="shared" si="56"/>
        <v>976.18751999999995</v>
      </c>
      <c r="P505" s="159">
        <f t="shared" si="57"/>
        <v>1843.9</v>
      </c>
      <c r="Q505" s="160">
        <f t="shared" si="58"/>
        <v>976.2</v>
      </c>
    </row>
    <row r="506" spans="1:17" ht="35.25" thickTop="1" thickBot="1">
      <c r="A506" s="12" t="s">
        <v>449</v>
      </c>
      <c r="B506" s="167">
        <v>1095.5999999999999</v>
      </c>
      <c r="C506" s="9" t="s">
        <v>354</v>
      </c>
      <c r="D506" s="10">
        <f>B506/56/50*300</f>
        <v>117.38571428571427</v>
      </c>
      <c r="E506" s="11">
        <v>0.85</v>
      </c>
      <c r="F506" s="27">
        <v>0.85</v>
      </c>
      <c r="G506" s="109">
        <f t="shared" si="53"/>
        <v>0.44999999999999996</v>
      </c>
      <c r="H506" s="109">
        <v>0.44999999999999996</v>
      </c>
      <c r="I506" s="109">
        <v>0.85</v>
      </c>
      <c r="J506" s="113">
        <f t="shared" si="54"/>
        <v>0.44999999999999996</v>
      </c>
      <c r="K506" s="65" t="s">
        <v>448</v>
      </c>
      <c r="L506" s="51" t="s">
        <v>446</v>
      </c>
      <c r="M506" s="136">
        <v>0.44999999999999996</v>
      </c>
      <c r="N506" s="142">
        <f t="shared" si="55"/>
        <v>1147.31232</v>
      </c>
      <c r="O506" s="128">
        <f t="shared" si="56"/>
        <v>607.40063999999995</v>
      </c>
      <c r="P506" s="159">
        <f t="shared" si="57"/>
        <v>1147.3</v>
      </c>
      <c r="Q506" s="160">
        <f t="shared" si="58"/>
        <v>607.4</v>
      </c>
    </row>
    <row r="507" spans="1:17" ht="35.25" thickTop="1" thickBot="1">
      <c r="A507" s="12" t="s">
        <v>449</v>
      </c>
      <c r="B507" s="167">
        <v>670.1</v>
      </c>
      <c r="C507" s="9" t="s">
        <v>354</v>
      </c>
      <c r="D507" s="10">
        <f>B507/56/75*300</f>
        <v>47.864285714285714</v>
      </c>
      <c r="E507" s="11">
        <v>0.85</v>
      </c>
      <c r="F507" s="27">
        <v>0.85</v>
      </c>
      <c r="G507" s="109">
        <f t="shared" si="53"/>
        <v>0.44999999999999996</v>
      </c>
      <c r="H507" s="109">
        <v>0.44999999999999996</v>
      </c>
      <c r="I507" s="109">
        <v>0.85</v>
      </c>
      <c r="J507" s="113">
        <f t="shared" si="54"/>
        <v>0.44999999999999996</v>
      </c>
      <c r="K507" s="65" t="s">
        <v>448</v>
      </c>
      <c r="L507" s="51" t="s">
        <v>446</v>
      </c>
      <c r="M507" s="136">
        <v>0.44999999999999996</v>
      </c>
      <c r="N507" s="142">
        <f t="shared" si="55"/>
        <v>701.72872000000018</v>
      </c>
      <c r="O507" s="128">
        <f t="shared" si="56"/>
        <v>371.50344000000001</v>
      </c>
      <c r="P507" s="159">
        <f t="shared" si="57"/>
        <v>701.7</v>
      </c>
      <c r="Q507" s="160">
        <f t="shared" si="58"/>
        <v>371.5</v>
      </c>
    </row>
    <row r="508" spans="1:17" ht="35.25" thickTop="1" thickBot="1">
      <c r="A508" s="12" t="s">
        <v>449</v>
      </c>
      <c r="B508" s="167">
        <v>1149.5</v>
      </c>
      <c r="C508" s="9" t="s">
        <v>354</v>
      </c>
      <c r="D508" s="10">
        <f>B508/56/150*300</f>
        <v>41.053571428571431</v>
      </c>
      <c r="E508" s="11">
        <v>0.85</v>
      </c>
      <c r="F508" s="27">
        <v>0.85</v>
      </c>
      <c r="G508" s="109">
        <f t="shared" si="53"/>
        <v>0.44999999999999996</v>
      </c>
      <c r="H508" s="109">
        <v>0.44999999999999996</v>
      </c>
      <c r="I508" s="109">
        <v>0.85</v>
      </c>
      <c r="J508" s="113">
        <f t="shared" si="54"/>
        <v>0.44999999999999996</v>
      </c>
      <c r="K508" s="65" t="s">
        <v>448</v>
      </c>
      <c r="L508" s="51" t="s">
        <v>446</v>
      </c>
      <c r="M508" s="136">
        <v>0.44999999999999996</v>
      </c>
      <c r="N508" s="142">
        <f t="shared" si="55"/>
        <v>1203.7564000000002</v>
      </c>
      <c r="O508" s="128">
        <f t="shared" si="56"/>
        <v>637.28280000000018</v>
      </c>
      <c r="P508" s="159">
        <f t="shared" si="57"/>
        <v>1203.8</v>
      </c>
      <c r="Q508" s="160">
        <f t="shared" si="58"/>
        <v>637.29999999999995</v>
      </c>
    </row>
    <row r="509" spans="1:17" ht="35.25" thickTop="1" thickBot="1">
      <c r="A509" s="12" t="s">
        <v>449</v>
      </c>
      <c r="B509" s="167">
        <v>2080</v>
      </c>
      <c r="C509" s="9" t="s">
        <v>354</v>
      </c>
      <c r="D509" s="10">
        <f>B509/56/300*300</f>
        <v>37.142857142857146</v>
      </c>
      <c r="E509" s="11">
        <v>0.85</v>
      </c>
      <c r="F509" s="27">
        <v>0.85</v>
      </c>
      <c r="G509" s="109">
        <f t="shared" ref="G509:G572" si="59">IF(AND(F509&gt;=0.15, F509&lt;=0.45), 0.1, IF(AND(F509&gt;=0.5, F509&lt;=0.9), F509-0.4, F509))</f>
        <v>0.44999999999999996</v>
      </c>
      <c r="H509" s="109">
        <v>0.44999999999999996</v>
      </c>
      <c r="I509" s="109">
        <v>0.85</v>
      </c>
      <c r="J509" s="113">
        <f t="shared" ref="J509:J572" si="60">H509</f>
        <v>0.44999999999999996</v>
      </c>
      <c r="K509" s="65" t="s">
        <v>448</v>
      </c>
      <c r="L509" s="51" t="s">
        <v>446</v>
      </c>
      <c r="M509" s="136">
        <v>0.44999999999999996</v>
      </c>
      <c r="N509" s="142">
        <f t="shared" si="55"/>
        <v>2178.1760000000004</v>
      </c>
      <c r="O509" s="128">
        <f t="shared" si="56"/>
        <v>1153.152</v>
      </c>
      <c r="P509" s="159">
        <f t="shared" si="57"/>
        <v>2178.1999999999998</v>
      </c>
      <c r="Q509" s="160">
        <f t="shared" si="58"/>
        <v>1153.2</v>
      </c>
    </row>
    <row r="510" spans="1:17" ht="35.25" thickTop="1" thickBot="1">
      <c r="A510" s="12" t="s">
        <v>725</v>
      </c>
      <c r="B510" s="167">
        <v>670.1</v>
      </c>
      <c r="C510" s="9" t="s">
        <v>450</v>
      </c>
      <c r="D510" s="10">
        <f>+(B510/56)/75*300</f>
        <v>47.864285714285714</v>
      </c>
      <c r="E510" s="11">
        <v>0.85</v>
      </c>
      <c r="F510" s="27">
        <v>0.85</v>
      </c>
      <c r="G510" s="109">
        <f t="shared" si="59"/>
        <v>0.44999999999999996</v>
      </c>
      <c r="H510" s="109">
        <v>0.44999999999999996</v>
      </c>
      <c r="I510" s="109">
        <v>0.85</v>
      </c>
      <c r="J510" s="113">
        <f t="shared" si="60"/>
        <v>0.44999999999999996</v>
      </c>
      <c r="K510" s="65" t="s">
        <v>448</v>
      </c>
      <c r="L510" s="51" t="s">
        <v>446</v>
      </c>
      <c r="M510" s="136">
        <v>0.44999999999999996</v>
      </c>
      <c r="N510" s="142">
        <f t="shared" si="55"/>
        <v>701.72872000000018</v>
      </c>
      <c r="O510" s="128">
        <f t="shared" si="56"/>
        <v>371.50344000000001</v>
      </c>
      <c r="P510" s="159">
        <f t="shared" si="57"/>
        <v>701.7</v>
      </c>
      <c r="Q510" s="160">
        <f t="shared" si="58"/>
        <v>371.5</v>
      </c>
    </row>
    <row r="511" spans="1:17" ht="35.25" thickTop="1" thickBot="1">
      <c r="A511" s="12" t="s">
        <v>725</v>
      </c>
      <c r="B511" s="167">
        <v>1149.5</v>
      </c>
      <c r="C511" s="9" t="s">
        <v>450</v>
      </c>
      <c r="D511" s="10">
        <f>+(B511/56)/150*300</f>
        <v>41.053571428571431</v>
      </c>
      <c r="E511" s="11">
        <v>0.85</v>
      </c>
      <c r="F511" s="27">
        <v>0.85</v>
      </c>
      <c r="G511" s="109">
        <f t="shared" si="59"/>
        <v>0.44999999999999996</v>
      </c>
      <c r="H511" s="109">
        <v>0.44999999999999996</v>
      </c>
      <c r="I511" s="109">
        <v>0.85</v>
      </c>
      <c r="J511" s="113">
        <f t="shared" si="60"/>
        <v>0.44999999999999996</v>
      </c>
      <c r="K511" s="65" t="s">
        <v>448</v>
      </c>
      <c r="L511" s="51" t="s">
        <v>446</v>
      </c>
      <c r="M511" s="136">
        <v>0.44999999999999996</v>
      </c>
      <c r="N511" s="142">
        <f t="shared" si="55"/>
        <v>1203.7564000000002</v>
      </c>
      <c r="O511" s="128">
        <f t="shared" si="56"/>
        <v>637.28280000000018</v>
      </c>
      <c r="P511" s="159">
        <f t="shared" si="57"/>
        <v>1203.8</v>
      </c>
      <c r="Q511" s="160">
        <f t="shared" si="58"/>
        <v>637.29999999999995</v>
      </c>
    </row>
    <row r="512" spans="1:17" ht="35.25" thickTop="1" thickBot="1">
      <c r="A512" s="12" t="s">
        <v>451</v>
      </c>
      <c r="B512" s="167">
        <v>1095.5999999999999</v>
      </c>
      <c r="C512" s="20" t="s">
        <v>354</v>
      </c>
      <c r="D512" s="10">
        <f>B512/56/50*300</f>
        <v>117.38571428571427</v>
      </c>
      <c r="E512" s="11">
        <v>0.85</v>
      </c>
      <c r="F512" s="27">
        <v>0.85</v>
      </c>
      <c r="G512" s="109">
        <f t="shared" si="59"/>
        <v>0.44999999999999996</v>
      </c>
      <c r="H512" s="109">
        <v>0.44999999999999996</v>
      </c>
      <c r="I512" s="109">
        <v>0.85</v>
      </c>
      <c r="J512" s="113">
        <f t="shared" si="60"/>
        <v>0.44999999999999996</v>
      </c>
      <c r="K512" s="66" t="s">
        <v>448</v>
      </c>
      <c r="L512" s="51" t="s">
        <v>446</v>
      </c>
      <c r="M512" s="136">
        <v>0.44999999999999996</v>
      </c>
      <c r="N512" s="142">
        <f t="shared" si="55"/>
        <v>1147.31232</v>
      </c>
      <c r="O512" s="128">
        <f t="shared" si="56"/>
        <v>607.40063999999995</v>
      </c>
      <c r="P512" s="159">
        <f t="shared" si="57"/>
        <v>1147.3</v>
      </c>
      <c r="Q512" s="160">
        <f t="shared" si="58"/>
        <v>607.4</v>
      </c>
    </row>
    <row r="513" spans="1:17" ht="35.25" thickTop="1" thickBot="1">
      <c r="A513" s="12" t="s">
        <v>451</v>
      </c>
      <c r="B513" s="167">
        <v>670.1</v>
      </c>
      <c r="C513" s="20" t="s">
        <v>354</v>
      </c>
      <c r="D513" s="10">
        <f>+(B513/56)/75*300</f>
        <v>47.864285714285714</v>
      </c>
      <c r="E513" s="11">
        <v>0.85</v>
      </c>
      <c r="F513" s="27">
        <v>0.85</v>
      </c>
      <c r="G513" s="109">
        <f t="shared" si="59"/>
        <v>0.44999999999999996</v>
      </c>
      <c r="H513" s="109">
        <v>0.44999999999999996</v>
      </c>
      <c r="I513" s="109">
        <v>0.85</v>
      </c>
      <c r="J513" s="113">
        <f t="shared" si="60"/>
        <v>0.44999999999999996</v>
      </c>
      <c r="K513" s="66" t="s">
        <v>448</v>
      </c>
      <c r="L513" s="51" t="s">
        <v>446</v>
      </c>
      <c r="M513" s="136">
        <v>0.44999999999999996</v>
      </c>
      <c r="N513" s="142">
        <f t="shared" si="55"/>
        <v>701.72872000000018</v>
      </c>
      <c r="O513" s="128">
        <f t="shared" si="56"/>
        <v>371.50344000000001</v>
      </c>
      <c r="P513" s="159">
        <f t="shared" si="57"/>
        <v>701.7</v>
      </c>
      <c r="Q513" s="160">
        <f t="shared" si="58"/>
        <v>371.5</v>
      </c>
    </row>
    <row r="514" spans="1:17" ht="35.25" thickTop="1" thickBot="1">
      <c r="A514" s="12" t="s">
        <v>451</v>
      </c>
      <c r="B514" s="167">
        <v>1149.5</v>
      </c>
      <c r="C514" s="20" t="s">
        <v>354</v>
      </c>
      <c r="D514" s="10">
        <f>+(B514/56)/150*300</f>
        <v>41.053571428571431</v>
      </c>
      <c r="E514" s="11">
        <v>0.85</v>
      </c>
      <c r="F514" s="27">
        <v>0.85</v>
      </c>
      <c r="G514" s="109">
        <f t="shared" si="59"/>
        <v>0.44999999999999996</v>
      </c>
      <c r="H514" s="109">
        <v>0.44999999999999996</v>
      </c>
      <c r="I514" s="109">
        <v>0.85</v>
      </c>
      <c r="J514" s="113">
        <f t="shared" si="60"/>
        <v>0.44999999999999996</v>
      </c>
      <c r="K514" s="66" t="s">
        <v>448</v>
      </c>
      <c r="L514" s="51" t="s">
        <v>446</v>
      </c>
      <c r="M514" s="136">
        <v>0.44999999999999996</v>
      </c>
      <c r="N514" s="142">
        <f t="shared" si="55"/>
        <v>1203.7564000000002</v>
      </c>
      <c r="O514" s="128">
        <f t="shared" si="56"/>
        <v>637.28280000000018</v>
      </c>
      <c r="P514" s="159">
        <f t="shared" si="57"/>
        <v>1203.8</v>
      </c>
      <c r="Q514" s="160">
        <f t="shared" si="58"/>
        <v>637.29999999999995</v>
      </c>
    </row>
    <row r="515" spans="1:17" ht="35.25" thickTop="1" thickBot="1">
      <c r="A515" s="12" t="s">
        <v>451</v>
      </c>
      <c r="B515" s="167">
        <v>2080</v>
      </c>
      <c r="C515" s="20" t="s">
        <v>354</v>
      </c>
      <c r="D515" s="10">
        <f>B515/56/300*300</f>
        <v>37.142857142857146</v>
      </c>
      <c r="E515" s="11">
        <v>0.85</v>
      </c>
      <c r="F515" s="27">
        <v>0.85</v>
      </c>
      <c r="G515" s="109">
        <f t="shared" si="59"/>
        <v>0.44999999999999996</v>
      </c>
      <c r="H515" s="109">
        <v>0.44999999999999996</v>
      </c>
      <c r="I515" s="109">
        <v>0.85</v>
      </c>
      <c r="J515" s="113">
        <f t="shared" si="60"/>
        <v>0.44999999999999996</v>
      </c>
      <c r="K515" s="66" t="s">
        <v>448</v>
      </c>
      <c r="L515" s="51" t="s">
        <v>446</v>
      </c>
      <c r="M515" s="136">
        <v>0.44999999999999996</v>
      </c>
      <c r="N515" s="142">
        <f t="shared" ref="N515:N578" si="61">B515*I515*1.12*1.1</f>
        <v>2178.1760000000004</v>
      </c>
      <c r="O515" s="128">
        <f t="shared" ref="O515:O578" si="62">B515*M515*1.12*1.1</f>
        <v>1153.152</v>
      </c>
      <c r="P515" s="159">
        <f t="shared" ref="P515:P578" si="63">ROUND(N515, 1)</f>
        <v>2178.1999999999998</v>
      </c>
      <c r="Q515" s="160">
        <f t="shared" ref="Q515:Q578" si="64">ROUND(O515, 1)</f>
        <v>1153.2</v>
      </c>
    </row>
    <row r="516" spans="1:17" ht="35.25" thickTop="1" thickBot="1">
      <c r="A516" s="14" t="s">
        <v>452</v>
      </c>
      <c r="B516" s="167">
        <v>1095.5999999999999</v>
      </c>
      <c r="C516" s="20" t="s">
        <v>354</v>
      </c>
      <c r="D516" s="10">
        <f>B516/56/50*300</f>
        <v>117.38571428571427</v>
      </c>
      <c r="E516" s="11">
        <v>0.85</v>
      </c>
      <c r="F516" s="27">
        <v>0.85</v>
      </c>
      <c r="G516" s="109">
        <f t="shared" si="59"/>
        <v>0.44999999999999996</v>
      </c>
      <c r="H516" s="109">
        <v>0.44999999999999996</v>
      </c>
      <c r="I516" s="109">
        <v>0.85</v>
      </c>
      <c r="J516" s="113">
        <f t="shared" si="60"/>
        <v>0.44999999999999996</v>
      </c>
      <c r="K516" s="66" t="s">
        <v>448</v>
      </c>
      <c r="L516" s="51" t="s">
        <v>446</v>
      </c>
      <c r="M516" s="136">
        <v>0.44999999999999996</v>
      </c>
      <c r="N516" s="142">
        <f t="shared" si="61"/>
        <v>1147.31232</v>
      </c>
      <c r="O516" s="128">
        <f t="shared" si="62"/>
        <v>607.40063999999995</v>
      </c>
      <c r="P516" s="159">
        <f t="shared" si="63"/>
        <v>1147.3</v>
      </c>
      <c r="Q516" s="160">
        <f t="shared" si="64"/>
        <v>607.4</v>
      </c>
    </row>
    <row r="517" spans="1:17" ht="35.25" thickTop="1" thickBot="1">
      <c r="A517" s="14" t="s">
        <v>452</v>
      </c>
      <c r="B517" s="167">
        <v>670.1</v>
      </c>
      <c r="C517" s="20" t="s">
        <v>354</v>
      </c>
      <c r="D517" s="10">
        <f>+(B517/56)/75*300</f>
        <v>47.864285714285714</v>
      </c>
      <c r="E517" s="11">
        <v>0.85</v>
      </c>
      <c r="F517" s="27">
        <v>0.85</v>
      </c>
      <c r="G517" s="109">
        <f t="shared" si="59"/>
        <v>0.44999999999999996</v>
      </c>
      <c r="H517" s="109">
        <v>0.44999999999999996</v>
      </c>
      <c r="I517" s="109">
        <v>0.85</v>
      </c>
      <c r="J517" s="113">
        <f t="shared" si="60"/>
        <v>0.44999999999999996</v>
      </c>
      <c r="K517" s="66" t="s">
        <v>448</v>
      </c>
      <c r="L517" s="51" t="s">
        <v>446</v>
      </c>
      <c r="M517" s="136">
        <v>0.44999999999999996</v>
      </c>
      <c r="N517" s="142">
        <f t="shared" si="61"/>
        <v>701.72872000000018</v>
      </c>
      <c r="O517" s="128">
        <f t="shared" si="62"/>
        <v>371.50344000000001</v>
      </c>
      <c r="P517" s="159">
        <f t="shared" si="63"/>
        <v>701.7</v>
      </c>
      <c r="Q517" s="160">
        <f t="shared" si="64"/>
        <v>371.5</v>
      </c>
    </row>
    <row r="518" spans="1:17" ht="35.25" thickTop="1" thickBot="1">
      <c r="A518" s="14" t="s">
        <v>452</v>
      </c>
      <c r="B518" s="167">
        <v>1149.5</v>
      </c>
      <c r="C518" s="20" t="s">
        <v>354</v>
      </c>
      <c r="D518" s="10">
        <f>+(B518/56)/150*300</f>
        <v>41.053571428571431</v>
      </c>
      <c r="E518" s="11">
        <v>0.85</v>
      </c>
      <c r="F518" s="27">
        <v>0.85</v>
      </c>
      <c r="G518" s="109">
        <f t="shared" si="59"/>
        <v>0.44999999999999996</v>
      </c>
      <c r="H518" s="109">
        <v>0.44999999999999996</v>
      </c>
      <c r="I518" s="109">
        <v>0.85</v>
      </c>
      <c r="J518" s="113">
        <f t="shared" si="60"/>
        <v>0.44999999999999996</v>
      </c>
      <c r="K518" s="66" t="s">
        <v>448</v>
      </c>
      <c r="L518" s="51" t="s">
        <v>446</v>
      </c>
      <c r="M518" s="136">
        <v>0.44999999999999996</v>
      </c>
      <c r="N518" s="142">
        <f t="shared" si="61"/>
        <v>1203.7564000000002</v>
      </c>
      <c r="O518" s="128">
        <f t="shared" si="62"/>
        <v>637.28280000000018</v>
      </c>
      <c r="P518" s="159">
        <f t="shared" si="63"/>
        <v>1203.8</v>
      </c>
      <c r="Q518" s="160">
        <f t="shared" si="64"/>
        <v>637.29999999999995</v>
      </c>
    </row>
    <row r="519" spans="1:17" ht="35.25" thickTop="1" thickBot="1">
      <c r="A519" s="12" t="s">
        <v>453</v>
      </c>
      <c r="B519" s="170">
        <v>1760.8</v>
      </c>
      <c r="C519" s="9" t="s">
        <v>354</v>
      </c>
      <c r="D519" s="27">
        <f>B519/90/50*300</f>
        <v>117.38666666666666</v>
      </c>
      <c r="E519" s="11">
        <v>0.85</v>
      </c>
      <c r="F519" s="27">
        <v>0.85</v>
      </c>
      <c r="G519" s="109">
        <f t="shared" si="59"/>
        <v>0.44999999999999996</v>
      </c>
      <c r="H519" s="109">
        <v>0.44999999999999996</v>
      </c>
      <c r="I519" s="109">
        <v>0.85</v>
      </c>
      <c r="J519" s="113">
        <f t="shared" si="60"/>
        <v>0.44999999999999996</v>
      </c>
      <c r="K519" s="66" t="s">
        <v>448</v>
      </c>
      <c r="L519" s="51" t="s">
        <v>446</v>
      </c>
      <c r="M519" s="136">
        <v>0.44999999999999996</v>
      </c>
      <c r="N519" s="142">
        <f t="shared" si="61"/>
        <v>1843.9097600000002</v>
      </c>
      <c r="O519" s="128">
        <f t="shared" si="62"/>
        <v>976.18751999999995</v>
      </c>
      <c r="P519" s="159">
        <f t="shared" si="63"/>
        <v>1843.9</v>
      </c>
      <c r="Q519" s="160">
        <f t="shared" si="64"/>
        <v>976.2</v>
      </c>
    </row>
    <row r="520" spans="1:17" ht="35.25" thickTop="1" thickBot="1">
      <c r="A520" s="12" t="s">
        <v>453</v>
      </c>
      <c r="B520" s="167">
        <v>670.1</v>
      </c>
      <c r="C520" s="20" t="s">
        <v>354</v>
      </c>
      <c r="D520" s="10">
        <f>+(B520/56)/75*300</f>
        <v>47.864285714285714</v>
      </c>
      <c r="E520" s="11">
        <v>0.85</v>
      </c>
      <c r="F520" s="27">
        <v>0.85</v>
      </c>
      <c r="G520" s="109">
        <f t="shared" si="59"/>
        <v>0.44999999999999996</v>
      </c>
      <c r="H520" s="109">
        <v>0.44999999999999996</v>
      </c>
      <c r="I520" s="109">
        <v>0.85</v>
      </c>
      <c r="J520" s="113">
        <f t="shared" si="60"/>
        <v>0.44999999999999996</v>
      </c>
      <c r="K520" s="66" t="s">
        <v>448</v>
      </c>
      <c r="L520" s="51" t="s">
        <v>446</v>
      </c>
      <c r="M520" s="136">
        <v>0.44999999999999996</v>
      </c>
      <c r="N520" s="142">
        <f t="shared" si="61"/>
        <v>701.72872000000018</v>
      </c>
      <c r="O520" s="128">
        <f t="shared" si="62"/>
        <v>371.50344000000001</v>
      </c>
      <c r="P520" s="159">
        <f t="shared" si="63"/>
        <v>701.7</v>
      </c>
      <c r="Q520" s="160">
        <f t="shared" si="64"/>
        <v>371.5</v>
      </c>
    </row>
    <row r="521" spans="1:17" ht="35.25" thickTop="1" thickBot="1">
      <c r="A521" s="12" t="s">
        <v>453</v>
      </c>
      <c r="B521" s="167">
        <v>1149.5</v>
      </c>
      <c r="C521" s="20" t="s">
        <v>354</v>
      </c>
      <c r="D521" s="10">
        <f>+(B521/56)/150*300</f>
        <v>41.053571428571431</v>
      </c>
      <c r="E521" s="11">
        <v>0.85</v>
      </c>
      <c r="F521" s="27">
        <v>0.85</v>
      </c>
      <c r="G521" s="109">
        <f t="shared" si="59"/>
        <v>0.44999999999999996</v>
      </c>
      <c r="H521" s="109">
        <v>0.44999999999999996</v>
      </c>
      <c r="I521" s="109">
        <v>0.85</v>
      </c>
      <c r="J521" s="113">
        <f t="shared" si="60"/>
        <v>0.44999999999999996</v>
      </c>
      <c r="K521" s="66" t="s">
        <v>448</v>
      </c>
      <c r="L521" s="51" t="s">
        <v>446</v>
      </c>
      <c r="M521" s="136">
        <v>0.44999999999999996</v>
      </c>
      <c r="N521" s="142">
        <f t="shared" si="61"/>
        <v>1203.7564000000002</v>
      </c>
      <c r="O521" s="128">
        <f t="shared" si="62"/>
        <v>637.28280000000018</v>
      </c>
      <c r="P521" s="159">
        <f t="shared" si="63"/>
        <v>1203.8</v>
      </c>
      <c r="Q521" s="160">
        <f t="shared" si="64"/>
        <v>637.29999999999995</v>
      </c>
    </row>
    <row r="522" spans="1:17" ht="24" thickTop="1" thickBot="1">
      <c r="A522" s="12" t="s">
        <v>454</v>
      </c>
      <c r="B522" s="166">
        <v>4636</v>
      </c>
      <c r="C522" s="9" t="s">
        <v>455</v>
      </c>
      <c r="D522" s="10">
        <f>B522/100/100*450</f>
        <v>208.62</v>
      </c>
      <c r="E522" s="11">
        <v>0.6</v>
      </c>
      <c r="F522" s="27">
        <v>0.6</v>
      </c>
      <c r="G522" s="109">
        <f t="shared" si="59"/>
        <v>0.19999999999999996</v>
      </c>
      <c r="H522" s="109">
        <v>0.19999999999999996</v>
      </c>
      <c r="I522" s="109">
        <v>0.6</v>
      </c>
      <c r="J522" s="113">
        <f t="shared" si="60"/>
        <v>0.19999999999999996</v>
      </c>
      <c r="K522" s="51" t="s">
        <v>456</v>
      </c>
      <c r="L522" s="51" t="s">
        <v>457</v>
      </c>
      <c r="M522" s="136">
        <v>0.19999999999999996</v>
      </c>
      <c r="N522" s="142">
        <f t="shared" si="61"/>
        <v>3426.9312000000004</v>
      </c>
      <c r="O522" s="128">
        <f t="shared" si="62"/>
        <v>1142.3104000000001</v>
      </c>
      <c r="P522" s="159">
        <f t="shared" si="63"/>
        <v>3426.9</v>
      </c>
      <c r="Q522" s="160">
        <f t="shared" si="64"/>
        <v>1142.3</v>
      </c>
    </row>
    <row r="523" spans="1:17" ht="24" thickTop="1" thickBot="1">
      <c r="A523" s="12" t="s">
        <v>454</v>
      </c>
      <c r="B523" s="166">
        <v>4636</v>
      </c>
      <c r="C523" s="9" t="s">
        <v>455</v>
      </c>
      <c r="D523" s="10">
        <f>B523/100/150*450</f>
        <v>139.07999999999998</v>
      </c>
      <c r="E523" s="11">
        <v>0.6</v>
      </c>
      <c r="F523" s="27">
        <v>0.6</v>
      </c>
      <c r="G523" s="109">
        <f t="shared" si="59"/>
        <v>0.19999999999999996</v>
      </c>
      <c r="H523" s="109">
        <v>0.19999999999999996</v>
      </c>
      <c r="I523" s="109">
        <v>0.6</v>
      </c>
      <c r="J523" s="113">
        <f t="shared" si="60"/>
        <v>0.19999999999999996</v>
      </c>
      <c r="K523" s="51" t="s">
        <v>456</v>
      </c>
      <c r="L523" s="51" t="s">
        <v>457</v>
      </c>
      <c r="M523" s="136">
        <v>0.19999999999999996</v>
      </c>
      <c r="N523" s="142">
        <f t="shared" si="61"/>
        <v>3426.9312000000004</v>
      </c>
      <c r="O523" s="128">
        <f t="shared" si="62"/>
        <v>1142.3104000000001</v>
      </c>
      <c r="P523" s="159">
        <f t="shared" si="63"/>
        <v>3426.9</v>
      </c>
      <c r="Q523" s="160">
        <f t="shared" si="64"/>
        <v>1142.3</v>
      </c>
    </row>
    <row r="524" spans="1:17" ht="24" thickTop="1" thickBot="1">
      <c r="A524" s="12" t="s">
        <v>458</v>
      </c>
      <c r="B524" s="166">
        <v>3622.2</v>
      </c>
      <c r="C524" s="9" t="s">
        <v>455</v>
      </c>
      <c r="D524" s="10">
        <f>B524/100/100*450</f>
        <v>162.999</v>
      </c>
      <c r="E524" s="11">
        <v>0.5</v>
      </c>
      <c r="F524" s="27">
        <v>0.5</v>
      </c>
      <c r="G524" s="109">
        <f t="shared" si="59"/>
        <v>9.9999999999999978E-2</v>
      </c>
      <c r="H524" s="109">
        <v>9.9999999999999978E-2</v>
      </c>
      <c r="I524" s="109">
        <v>0.5</v>
      </c>
      <c r="J524" s="113">
        <f t="shared" si="60"/>
        <v>9.9999999999999978E-2</v>
      </c>
      <c r="K524" s="51" t="s">
        <v>456</v>
      </c>
      <c r="L524" s="51" t="s">
        <v>457</v>
      </c>
      <c r="M524" s="136">
        <v>9.9999999999999978E-2</v>
      </c>
      <c r="N524" s="142">
        <f t="shared" si="61"/>
        <v>2231.2752</v>
      </c>
      <c r="O524" s="128">
        <f t="shared" si="62"/>
        <v>446.25503999999995</v>
      </c>
      <c r="P524" s="159">
        <f t="shared" si="63"/>
        <v>2231.3000000000002</v>
      </c>
      <c r="Q524" s="160">
        <f t="shared" si="64"/>
        <v>446.3</v>
      </c>
    </row>
    <row r="525" spans="1:17" ht="24" thickTop="1" thickBot="1">
      <c r="A525" s="12" t="s">
        <v>458</v>
      </c>
      <c r="B525" s="166">
        <v>3767.9</v>
      </c>
      <c r="C525" s="9" t="s">
        <v>455</v>
      </c>
      <c r="D525" s="10">
        <f>B525/100/150*450</f>
        <v>113.03699999999999</v>
      </c>
      <c r="E525" s="11">
        <v>0.5</v>
      </c>
      <c r="F525" s="27">
        <v>0.5</v>
      </c>
      <c r="G525" s="109">
        <f t="shared" si="59"/>
        <v>9.9999999999999978E-2</v>
      </c>
      <c r="H525" s="109">
        <v>9.9999999999999978E-2</v>
      </c>
      <c r="I525" s="109">
        <v>0.5</v>
      </c>
      <c r="J525" s="113">
        <f t="shared" si="60"/>
        <v>9.9999999999999978E-2</v>
      </c>
      <c r="K525" s="51" t="s">
        <v>456</v>
      </c>
      <c r="L525" s="51" t="s">
        <v>457</v>
      </c>
      <c r="M525" s="136">
        <v>9.9999999999999978E-2</v>
      </c>
      <c r="N525" s="142">
        <f t="shared" si="61"/>
        <v>2321.0264000000006</v>
      </c>
      <c r="O525" s="128">
        <f t="shared" si="62"/>
        <v>464.20527999999996</v>
      </c>
      <c r="P525" s="159">
        <f t="shared" si="63"/>
        <v>2321</v>
      </c>
      <c r="Q525" s="160">
        <f t="shared" si="64"/>
        <v>464.2</v>
      </c>
    </row>
    <row r="526" spans="1:17" ht="24" thickTop="1" thickBot="1">
      <c r="A526" s="12" t="s">
        <v>458</v>
      </c>
      <c r="B526" s="166">
        <v>3694.6</v>
      </c>
      <c r="C526" s="9" t="s">
        <v>455</v>
      </c>
      <c r="D526" s="10">
        <f>B526/100/200*450</f>
        <v>83.128499999999988</v>
      </c>
      <c r="E526" s="11">
        <v>0.5</v>
      </c>
      <c r="F526" s="27">
        <v>0.5</v>
      </c>
      <c r="G526" s="109">
        <f t="shared" si="59"/>
        <v>9.9999999999999978E-2</v>
      </c>
      <c r="H526" s="109">
        <v>9.9999999999999978E-2</v>
      </c>
      <c r="I526" s="109">
        <v>0.5</v>
      </c>
      <c r="J526" s="113">
        <f t="shared" si="60"/>
        <v>9.9999999999999978E-2</v>
      </c>
      <c r="K526" s="51" t="s">
        <v>456</v>
      </c>
      <c r="L526" s="51" t="s">
        <v>457</v>
      </c>
      <c r="M526" s="136">
        <v>9.9999999999999978E-2</v>
      </c>
      <c r="N526" s="142">
        <f t="shared" si="61"/>
        <v>2275.8736000000004</v>
      </c>
      <c r="O526" s="128">
        <f t="shared" si="62"/>
        <v>455.17471999999998</v>
      </c>
      <c r="P526" s="159">
        <f t="shared" si="63"/>
        <v>2275.9</v>
      </c>
      <c r="Q526" s="160">
        <f t="shared" si="64"/>
        <v>455.2</v>
      </c>
    </row>
    <row r="527" spans="1:17" ht="24" thickTop="1" thickBot="1">
      <c r="A527" s="12" t="s">
        <v>459</v>
      </c>
      <c r="B527" s="166">
        <v>423.1</v>
      </c>
      <c r="C527" s="9" t="s">
        <v>460</v>
      </c>
      <c r="D527" s="10">
        <f>B527/28/2*6</f>
        <v>45.332142857142856</v>
      </c>
      <c r="E527" s="11">
        <v>0.2</v>
      </c>
      <c r="F527" s="27">
        <v>0.2</v>
      </c>
      <c r="G527" s="109">
        <f t="shared" si="59"/>
        <v>0.1</v>
      </c>
      <c r="H527" s="109">
        <v>0.1</v>
      </c>
      <c r="I527" s="109">
        <v>0.2</v>
      </c>
      <c r="J527" s="113">
        <f t="shared" si="60"/>
        <v>0.1</v>
      </c>
      <c r="K527" s="12" t="s">
        <v>461</v>
      </c>
      <c r="L527" s="12" t="s">
        <v>462</v>
      </c>
      <c r="M527" s="129">
        <v>0.1</v>
      </c>
      <c r="N527" s="142">
        <f t="shared" si="61"/>
        <v>104.25184000000003</v>
      </c>
      <c r="O527" s="128">
        <f t="shared" si="62"/>
        <v>52.125920000000015</v>
      </c>
      <c r="P527" s="159">
        <f t="shared" si="63"/>
        <v>104.3</v>
      </c>
      <c r="Q527" s="160">
        <f t="shared" si="64"/>
        <v>52.1</v>
      </c>
    </row>
    <row r="528" spans="1:17" ht="24" thickTop="1" thickBot="1">
      <c r="A528" s="12" t="s">
        <v>459</v>
      </c>
      <c r="B528" s="166">
        <v>824</v>
      </c>
      <c r="C528" s="9" t="s">
        <v>460</v>
      </c>
      <c r="D528" s="10">
        <f>B528/28/4*6</f>
        <v>44.142857142857139</v>
      </c>
      <c r="E528" s="11">
        <v>0.2</v>
      </c>
      <c r="F528" s="27">
        <v>0.2</v>
      </c>
      <c r="G528" s="109">
        <f t="shared" si="59"/>
        <v>0.1</v>
      </c>
      <c r="H528" s="109">
        <v>0.1</v>
      </c>
      <c r="I528" s="109">
        <v>0.2</v>
      </c>
      <c r="J528" s="113">
        <f t="shared" si="60"/>
        <v>0.1</v>
      </c>
      <c r="K528" s="12" t="s">
        <v>461</v>
      </c>
      <c r="L528" s="12" t="s">
        <v>430</v>
      </c>
      <c r="M528" s="129">
        <v>0.1</v>
      </c>
      <c r="N528" s="142">
        <f t="shared" si="61"/>
        <v>203.03360000000004</v>
      </c>
      <c r="O528" s="128">
        <f t="shared" si="62"/>
        <v>101.51680000000002</v>
      </c>
      <c r="P528" s="159">
        <f t="shared" si="63"/>
        <v>203</v>
      </c>
      <c r="Q528" s="160">
        <f t="shared" si="64"/>
        <v>101.5</v>
      </c>
    </row>
    <row r="529" spans="1:17" ht="24" thickTop="1" thickBot="1">
      <c r="A529" s="12" t="s">
        <v>459</v>
      </c>
      <c r="B529" s="166">
        <v>1434.2</v>
      </c>
      <c r="C529" s="9" t="s">
        <v>460</v>
      </c>
      <c r="D529" s="10">
        <f>B529/28/8*6</f>
        <v>38.416071428571428</v>
      </c>
      <c r="E529" s="11">
        <v>0.2</v>
      </c>
      <c r="F529" s="27">
        <v>0.2</v>
      </c>
      <c r="G529" s="109">
        <f t="shared" si="59"/>
        <v>0.1</v>
      </c>
      <c r="H529" s="109">
        <v>0.1</v>
      </c>
      <c r="I529" s="109">
        <v>0.2</v>
      </c>
      <c r="J529" s="113">
        <f t="shared" si="60"/>
        <v>0.1</v>
      </c>
      <c r="K529" s="12" t="s">
        <v>461</v>
      </c>
      <c r="L529" s="12" t="s">
        <v>430</v>
      </c>
      <c r="M529" s="129">
        <v>0.1</v>
      </c>
      <c r="N529" s="142">
        <f t="shared" si="61"/>
        <v>353.38688000000013</v>
      </c>
      <c r="O529" s="128">
        <f t="shared" si="62"/>
        <v>176.69344000000007</v>
      </c>
      <c r="P529" s="159">
        <f t="shared" si="63"/>
        <v>353.4</v>
      </c>
      <c r="Q529" s="160">
        <f t="shared" si="64"/>
        <v>176.7</v>
      </c>
    </row>
    <row r="530" spans="1:17" ht="24" thickTop="1" thickBot="1">
      <c r="A530" s="53" t="s">
        <v>463</v>
      </c>
      <c r="B530" s="166">
        <v>423.1</v>
      </c>
      <c r="C530" s="9" t="s">
        <v>460</v>
      </c>
      <c r="D530" s="10">
        <f>B530/28/2*6</f>
        <v>45.332142857142856</v>
      </c>
      <c r="E530" s="11">
        <v>0.2</v>
      </c>
      <c r="F530" s="27">
        <v>0.2</v>
      </c>
      <c r="G530" s="109">
        <f t="shared" si="59"/>
        <v>0.1</v>
      </c>
      <c r="H530" s="109">
        <v>0.1</v>
      </c>
      <c r="I530" s="109">
        <v>0.2</v>
      </c>
      <c r="J530" s="113">
        <f t="shared" si="60"/>
        <v>0.1</v>
      </c>
      <c r="K530" s="67" t="s">
        <v>461</v>
      </c>
      <c r="L530" s="67" t="s">
        <v>430</v>
      </c>
      <c r="M530" s="137">
        <v>0.1</v>
      </c>
      <c r="N530" s="142">
        <f t="shared" si="61"/>
        <v>104.25184000000003</v>
      </c>
      <c r="O530" s="128">
        <f t="shared" si="62"/>
        <v>52.125920000000015</v>
      </c>
      <c r="P530" s="159">
        <f t="shared" si="63"/>
        <v>104.3</v>
      </c>
      <c r="Q530" s="160">
        <f t="shared" si="64"/>
        <v>52.1</v>
      </c>
    </row>
    <row r="531" spans="1:17" ht="24" thickTop="1" thickBot="1">
      <c r="A531" s="53" t="s">
        <v>463</v>
      </c>
      <c r="B531" s="166">
        <v>824</v>
      </c>
      <c r="C531" s="9" t="s">
        <v>460</v>
      </c>
      <c r="D531" s="10">
        <f>B531/28/4*6</f>
        <v>44.142857142857139</v>
      </c>
      <c r="E531" s="11">
        <v>0.2</v>
      </c>
      <c r="F531" s="27">
        <v>0.2</v>
      </c>
      <c r="G531" s="109">
        <f t="shared" si="59"/>
        <v>0.1</v>
      </c>
      <c r="H531" s="109">
        <v>0.1</v>
      </c>
      <c r="I531" s="109">
        <v>0.2</v>
      </c>
      <c r="J531" s="113">
        <f t="shared" si="60"/>
        <v>0.1</v>
      </c>
      <c r="K531" s="67" t="s">
        <v>461</v>
      </c>
      <c r="L531" s="67" t="s">
        <v>430</v>
      </c>
      <c r="M531" s="137">
        <v>0.1</v>
      </c>
      <c r="N531" s="142">
        <f t="shared" si="61"/>
        <v>203.03360000000004</v>
      </c>
      <c r="O531" s="128">
        <f t="shared" si="62"/>
        <v>101.51680000000002</v>
      </c>
      <c r="P531" s="159">
        <f t="shared" si="63"/>
        <v>203</v>
      </c>
      <c r="Q531" s="160">
        <f t="shared" si="64"/>
        <v>101.5</v>
      </c>
    </row>
    <row r="532" spans="1:17" ht="24" thickTop="1" thickBot="1">
      <c r="A532" s="53" t="s">
        <v>463</v>
      </c>
      <c r="B532" s="166">
        <v>1434.2</v>
      </c>
      <c r="C532" s="9" t="s">
        <v>460</v>
      </c>
      <c r="D532" s="10">
        <f>B532/28/8*6</f>
        <v>38.416071428571428</v>
      </c>
      <c r="E532" s="11">
        <v>0.2</v>
      </c>
      <c r="F532" s="27">
        <v>0.2</v>
      </c>
      <c r="G532" s="109">
        <f t="shared" si="59"/>
        <v>0.1</v>
      </c>
      <c r="H532" s="109">
        <v>0.1</v>
      </c>
      <c r="I532" s="109">
        <v>0.2</v>
      </c>
      <c r="J532" s="113">
        <f t="shared" si="60"/>
        <v>0.1</v>
      </c>
      <c r="K532" s="67" t="s">
        <v>461</v>
      </c>
      <c r="L532" s="67" t="s">
        <v>430</v>
      </c>
      <c r="M532" s="137">
        <v>0.1</v>
      </c>
      <c r="N532" s="142">
        <f t="shared" si="61"/>
        <v>353.38688000000013</v>
      </c>
      <c r="O532" s="128">
        <f t="shared" si="62"/>
        <v>176.69344000000007</v>
      </c>
      <c r="P532" s="159">
        <f t="shared" si="63"/>
        <v>353.4</v>
      </c>
      <c r="Q532" s="160">
        <f t="shared" si="64"/>
        <v>176.7</v>
      </c>
    </row>
    <row r="533" spans="1:17" ht="24" thickTop="1" thickBot="1">
      <c r="A533" s="12" t="s">
        <v>464</v>
      </c>
      <c r="B533" s="167">
        <v>423.1</v>
      </c>
      <c r="C533" s="10" t="s">
        <v>460</v>
      </c>
      <c r="D533" s="10">
        <f>+(B533/28)/2*6</f>
        <v>45.332142857142856</v>
      </c>
      <c r="E533" s="11">
        <v>0.2</v>
      </c>
      <c r="F533" s="27">
        <v>0.2</v>
      </c>
      <c r="G533" s="109">
        <f t="shared" si="59"/>
        <v>0.1</v>
      </c>
      <c r="H533" s="109">
        <v>0.1</v>
      </c>
      <c r="I533" s="109">
        <v>0.2</v>
      </c>
      <c r="J533" s="113">
        <f t="shared" si="60"/>
        <v>0.1</v>
      </c>
      <c r="K533" s="67" t="s">
        <v>461</v>
      </c>
      <c r="L533" s="67" t="s">
        <v>430</v>
      </c>
      <c r="M533" s="137">
        <v>0.1</v>
      </c>
      <c r="N533" s="142">
        <f t="shared" si="61"/>
        <v>104.25184000000003</v>
      </c>
      <c r="O533" s="128">
        <f t="shared" si="62"/>
        <v>52.125920000000015</v>
      </c>
      <c r="P533" s="159">
        <f t="shared" si="63"/>
        <v>104.3</v>
      </c>
      <c r="Q533" s="160">
        <f t="shared" si="64"/>
        <v>52.1</v>
      </c>
    </row>
    <row r="534" spans="1:17" ht="24" thickTop="1" thickBot="1">
      <c r="A534" s="12" t="s">
        <v>464</v>
      </c>
      <c r="B534" s="167">
        <v>824</v>
      </c>
      <c r="C534" s="10" t="s">
        <v>460</v>
      </c>
      <c r="D534" s="10">
        <f>+(B534/28)/4*6</f>
        <v>44.142857142857139</v>
      </c>
      <c r="E534" s="11">
        <v>0.2</v>
      </c>
      <c r="F534" s="27">
        <v>0.2</v>
      </c>
      <c r="G534" s="109">
        <f t="shared" si="59"/>
        <v>0.1</v>
      </c>
      <c r="H534" s="109">
        <v>0.1</v>
      </c>
      <c r="I534" s="109">
        <v>0.2</v>
      </c>
      <c r="J534" s="113">
        <f t="shared" si="60"/>
        <v>0.1</v>
      </c>
      <c r="K534" s="67" t="s">
        <v>461</v>
      </c>
      <c r="L534" s="67" t="s">
        <v>430</v>
      </c>
      <c r="M534" s="137">
        <v>0.1</v>
      </c>
      <c r="N534" s="142">
        <f t="shared" si="61"/>
        <v>203.03360000000004</v>
      </c>
      <c r="O534" s="128">
        <f t="shared" si="62"/>
        <v>101.51680000000002</v>
      </c>
      <c r="P534" s="159">
        <f t="shared" si="63"/>
        <v>203</v>
      </c>
      <c r="Q534" s="160">
        <f t="shared" si="64"/>
        <v>101.5</v>
      </c>
    </row>
    <row r="535" spans="1:17" ht="24" thickTop="1" thickBot="1">
      <c r="A535" s="12" t="s">
        <v>464</v>
      </c>
      <c r="B535" s="167">
        <v>1434.2</v>
      </c>
      <c r="C535" s="10" t="s">
        <v>460</v>
      </c>
      <c r="D535" s="10">
        <f>+(B535/28)/8*6</f>
        <v>38.416071428571428</v>
      </c>
      <c r="E535" s="11">
        <v>0.2</v>
      </c>
      <c r="F535" s="27">
        <v>0.2</v>
      </c>
      <c r="G535" s="109">
        <f t="shared" si="59"/>
        <v>0.1</v>
      </c>
      <c r="H535" s="109">
        <v>0.1</v>
      </c>
      <c r="I535" s="109">
        <v>0.2</v>
      </c>
      <c r="J535" s="113">
        <f t="shared" si="60"/>
        <v>0.1</v>
      </c>
      <c r="K535" s="67" t="s">
        <v>461</v>
      </c>
      <c r="L535" s="67" t="s">
        <v>430</v>
      </c>
      <c r="M535" s="137">
        <v>0.1</v>
      </c>
      <c r="N535" s="142">
        <f t="shared" si="61"/>
        <v>353.38688000000013</v>
      </c>
      <c r="O535" s="128">
        <f t="shared" si="62"/>
        <v>176.69344000000007</v>
      </c>
      <c r="P535" s="159">
        <f t="shared" si="63"/>
        <v>353.4</v>
      </c>
      <c r="Q535" s="160">
        <f t="shared" si="64"/>
        <v>176.7</v>
      </c>
    </row>
    <row r="536" spans="1:17" ht="24" thickTop="1" thickBot="1">
      <c r="A536" s="12" t="s">
        <v>465</v>
      </c>
      <c r="B536" s="166">
        <v>387.1</v>
      </c>
      <c r="C536" s="9" t="s">
        <v>85</v>
      </c>
      <c r="D536" s="10">
        <f>B536/30/0.25*2.5</f>
        <v>129.03333333333333</v>
      </c>
      <c r="E536" s="11">
        <v>0.3</v>
      </c>
      <c r="F536" s="27">
        <v>0.3</v>
      </c>
      <c r="G536" s="109">
        <f t="shared" si="59"/>
        <v>0.1</v>
      </c>
      <c r="H536" s="109">
        <v>0.1</v>
      </c>
      <c r="I536" s="109">
        <v>0.3</v>
      </c>
      <c r="J536" s="113">
        <f t="shared" si="60"/>
        <v>0.1</v>
      </c>
      <c r="K536" s="12" t="s">
        <v>461</v>
      </c>
      <c r="L536" s="12" t="s">
        <v>430</v>
      </c>
      <c r="M536" s="129">
        <v>0.1</v>
      </c>
      <c r="N536" s="142">
        <f t="shared" si="61"/>
        <v>143.07216000000003</v>
      </c>
      <c r="O536" s="128">
        <f t="shared" si="62"/>
        <v>47.690720000000013</v>
      </c>
      <c r="P536" s="159">
        <f t="shared" si="63"/>
        <v>143.1</v>
      </c>
      <c r="Q536" s="160">
        <f t="shared" si="64"/>
        <v>47.7</v>
      </c>
    </row>
    <row r="537" spans="1:17" ht="24" thickTop="1" thickBot="1">
      <c r="A537" s="12" t="s">
        <v>465</v>
      </c>
      <c r="B537" s="166">
        <v>732.3</v>
      </c>
      <c r="C537" s="9" t="s">
        <v>85</v>
      </c>
      <c r="D537" s="10">
        <f>B537/30/1*2.5</f>
        <v>61.024999999999999</v>
      </c>
      <c r="E537" s="11">
        <v>0.3</v>
      </c>
      <c r="F537" s="27">
        <v>0.3</v>
      </c>
      <c r="G537" s="109">
        <f t="shared" si="59"/>
        <v>0.1</v>
      </c>
      <c r="H537" s="109">
        <v>0.1</v>
      </c>
      <c r="I537" s="109">
        <v>0.3</v>
      </c>
      <c r="J537" s="113">
        <f t="shared" si="60"/>
        <v>0.1</v>
      </c>
      <c r="K537" s="12" t="s">
        <v>461</v>
      </c>
      <c r="L537" s="12" t="s">
        <v>430</v>
      </c>
      <c r="M537" s="129">
        <v>0.1</v>
      </c>
      <c r="N537" s="142">
        <f t="shared" si="61"/>
        <v>270.65807999999998</v>
      </c>
      <c r="O537" s="128">
        <f t="shared" si="62"/>
        <v>90.219360000000023</v>
      </c>
      <c r="P537" s="159">
        <f t="shared" si="63"/>
        <v>270.7</v>
      </c>
      <c r="Q537" s="160">
        <f t="shared" si="64"/>
        <v>90.2</v>
      </c>
    </row>
    <row r="538" spans="1:17" ht="24" thickTop="1" thickBot="1">
      <c r="A538" s="12" t="s">
        <v>465</v>
      </c>
      <c r="B538" s="166">
        <v>141.4</v>
      </c>
      <c r="C538" s="9" t="s">
        <v>85</v>
      </c>
      <c r="D538" s="10">
        <f>B538/10/0.375*2.5</f>
        <v>94.26666666666668</v>
      </c>
      <c r="E538" s="11">
        <v>0.3</v>
      </c>
      <c r="F538" s="27">
        <v>0.3</v>
      </c>
      <c r="G538" s="109">
        <f t="shared" si="59"/>
        <v>0.1</v>
      </c>
      <c r="H538" s="109">
        <v>0.1</v>
      </c>
      <c r="I538" s="109">
        <v>0.3</v>
      </c>
      <c r="J538" s="113">
        <f t="shared" si="60"/>
        <v>0.1</v>
      </c>
      <c r="K538" s="12" t="s">
        <v>461</v>
      </c>
      <c r="L538" s="12" t="s">
        <v>430</v>
      </c>
      <c r="M538" s="129">
        <v>0.1</v>
      </c>
      <c r="N538" s="142">
        <f t="shared" si="61"/>
        <v>52.261440000000007</v>
      </c>
      <c r="O538" s="128">
        <f t="shared" si="62"/>
        <v>17.420480000000005</v>
      </c>
      <c r="P538" s="159">
        <f t="shared" si="63"/>
        <v>52.3</v>
      </c>
      <c r="Q538" s="160">
        <f t="shared" si="64"/>
        <v>17.399999999999999</v>
      </c>
    </row>
    <row r="539" spans="1:17" ht="24" thickTop="1" thickBot="1">
      <c r="A539" s="12" t="s">
        <v>465</v>
      </c>
      <c r="B539" s="166">
        <v>788.5</v>
      </c>
      <c r="C539" s="9" t="s">
        <v>85</v>
      </c>
      <c r="D539" s="10">
        <f>B539/30/0.75*2.5</f>
        <v>87.611111111111114</v>
      </c>
      <c r="E539" s="11">
        <v>0.3</v>
      </c>
      <c r="F539" s="27">
        <v>0.3</v>
      </c>
      <c r="G539" s="109">
        <f t="shared" si="59"/>
        <v>0.1</v>
      </c>
      <c r="H539" s="109">
        <v>0.1</v>
      </c>
      <c r="I539" s="109">
        <v>0.3</v>
      </c>
      <c r="J539" s="113">
        <f t="shared" si="60"/>
        <v>0.1</v>
      </c>
      <c r="K539" s="12" t="s">
        <v>466</v>
      </c>
      <c r="L539" s="12" t="s">
        <v>430</v>
      </c>
      <c r="M539" s="129">
        <v>0.1</v>
      </c>
      <c r="N539" s="142">
        <f t="shared" si="61"/>
        <v>291.42959999999999</v>
      </c>
      <c r="O539" s="128">
        <f t="shared" si="62"/>
        <v>97.143200000000022</v>
      </c>
      <c r="P539" s="159">
        <f t="shared" si="63"/>
        <v>291.39999999999998</v>
      </c>
      <c r="Q539" s="160">
        <f t="shared" si="64"/>
        <v>97.1</v>
      </c>
    </row>
    <row r="540" spans="1:17" ht="24" thickTop="1" thickBot="1">
      <c r="A540" s="12" t="s">
        <v>465</v>
      </c>
      <c r="B540" s="166">
        <v>1517.3</v>
      </c>
      <c r="C540" s="9" t="s">
        <v>85</v>
      </c>
      <c r="D540" s="10">
        <f>B540/30/1.5*2.5</f>
        <v>84.294444444444437</v>
      </c>
      <c r="E540" s="11">
        <v>0.3</v>
      </c>
      <c r="F540" s="27">
        <v>0.3</v>
      </c>
      <c r="G540" s="109">
        <f t="shared" si="59"/>
        <v>0.1</v>
      </c>
      <c r="H540" s="109">
        <v>0.1</v>
      </c>
      <c r="I540" s="109">
        <v>0.3</v>
      </c>
      <c r="J540" s="113">
        <f t="shared" si="60"/>
        <v>0.1</v>
      </c>
      <c r="K540" s="12" t="s">
        <v>461</v>
      </c>
      <c r="L540" s="12" t="s">
        <v>430</v>
      </c>
      <c r="M540" s="129">
        <v>0.1</v>
      </c>
      <c r="N540" s="142">
        <f t="shared" si="61"/>
        <v>560.79408000000012</v>
      </c>
      <c r="O540" s="128">
        <f t="shared" si="62"/>
        <v>186.93136000000001</v>
      </c>
      <c r="P540" s="159">
        <f t="shared" si="63"/>
        <v>560.79999999999995</v>
      </c>
      <c r="Q540" s="160">
        <f t="shared" si="64"/>
        <v>186.9</v>
      </c>
    </row>
    <row r="541" spans="1:17" ht="24" thickTop="1" thickBot="1">
      <c r="A541" s="12" t="s">
        <v>465</v>
      </c>
      <c r="B541" s="166">
        <v>2433.6</v>
      </c>
      <c r="C541" s="9" t="s">
        <v>85</v>
      </c>
      <c r="D541" s="10">
        <f>B541/30/3*2.5</f>
        <v>67.599999999999994</v>
      </c>
      <c r="E541" s="11">
        <v>0.3</v>
      </c>
      <c r="F541" s="27">
        <v>0.3</v>
      </c>
      <c r="G541" s="109">
        <f t="shared" si="59"/>
        <v>0.1</v>
      </c>
      <c r="H541" s="109">
        <v>0.1</v>
      </c>
      <c r="I541" s="109">
        <v>0.3</v>
      </c>
      <c r="J541" s="113">
        <f t="shared" si="60"/>
        <v>0.1</v>
      </c>
      <c r="K541" s="12" t="s">
        <v>461</v>
      </c>
      <c r="L541" s="12" t="s">
        <v>430</v>
      </c>
      <c r="M541" s="129">
        <v>0.1</v>
      </c>
      <c r="N541" s="142">
        <f t="shared" si="61"/>
        <v>899.45856000000015</v>
      </c>
      <c r="O541" s="128">
        <f t="shared" si="62"/>
        <v>299.81952000000007</v>
      </c>
      <c r="P541" s="159">
        <f t="shared" si="63"/>
        <v>899.5</v>
      </c>
      <c r="Q541" s="160">
        <f t="shared" si="64"/>
        <v>299.8</v>
      </c>
    </row>
    <row r="542" spans="1:17" ht="24" thickTop="1" thickBot="1">
      <c r="A542" s="12" t="s">
        <v>467</v>
      </c>
      <c r="B542" s="166">
        <v>424.2</v>
      </c>
      <c r="C542" s="9" t="s">
        <v>85</v>
      </c>
      <c r="D542" s="10">
        <f>B542/30/0.375*2.5</f>
        <v>94.266666666666652</v>
      </c>
      <c r="E542" s="11">
        <v>0.3</v>
      </c>
      <c r="F542" s="27">
        <v>0.3</v>
      </c>
      <c r="G542" s="109">
        <f t="shared" si="59"/>
        <v>0.1</v>
      </c>
      <c r="H542" s="109">
        <v>0.1</v>
      </c>
      <c r="I542" s="109">
        <v>0.3</v>
      </c>
      <c r="J542" s="113">
        <f t="shared" si="60"/>
        <v>0.1</v>
      </c>
      <c r="K542" s="12" t="s">
        <v>461</v>
      </c>
      <c r="L542" s="12" t="s">
        <v>430</v>
      </c>
      <c r="M542" s="129">
        <v>0.1</v>
      </c>
      <c r="N542" s="142">
        <f t="shared" si="61"/>
        <v>156.78432000000004</v>
      </c>
      <c r="O542" s="128">
        <f t="shared" si="62"/>
        <v>52.261440000000007</v>
      </c>
      <c r="P542" s="159">
        <f t="shared" si="63"/>
        <v>156.80000000000001</v>
      </c>
      <c r="Q542" s="160">
        <f t="shared" si="64"/>
        <v>52.3</v>
      </c>
    </row>
    <row r="543" spans="1:17" ht="24" thickTop="1" thickBot="1">
      <c r="A543" s="12" t="s">
        <v>467</v>
      </c>
      <c r="B543" s="166">
        <v>788.5</v>
      </c>
      <c r="C543" s="9" t="s">
        <v>85</v>
      </c>
      <c r="D543" s="10">
        <f>B543/30/0.75*2.5</f>
        <v>87.611111111111114</v>
      </c>
      <c r="E543" s="11">
        <v>0.3</v>
      </c>
      <c r="F543" s="27">
        <v>0.3</v>
      </c>
      <c r="G543" s="109">
        <f t="shared" si="59"/>
        <v>0.1</v>
      </c>
      <c r="H543" s="109">
        <v>0.1</v>
      </c>
      <c r="I543" s="109">
        <v>0.3</v>
      </c>
      <c r="J543" s="113">
        <f t="shared" si="60"/>
        <v>0.1</v>
      </c>
      <c r="K543" s="12" t="s">
        <v>461</v>
      </c>
      <c r="L543" s="12" t="s">
        <v>430</v>
      </c>
      <c r="M543" s="129">
        <v>0.1</v>
      </c>
      <c r="N543" s="142">
        <f t="shared" si="61"/>
        <v>291.42959999999999</v>
      </c>
      <c r="O543" s="128">
        <f t="shared" si="62"/>
        <v>97.143200000000022</v>
      </c>
      <c r="P543" s="159">
        <f t="shared" si="63"/>
        <v>291.39999999999998</v>
      </c>
      <c r="Q543" s="160">
        <f t="shared" si="64"/>
        <v>97.1</v>
      </c>
    </row>
    <row r="544" spans="1:17" ht="24" thickTop="1" thickBot="1">
      <c r="A544" s="12" t="s">
        <v>467</v>
      </c>
      <c r="B544" s="166">
        <v>1517.3</v>
      </c>
      <c r="C544" s="9" t="s">
        <v>85</v>
      </c>
      <c r="D544" s="10">
        <f>B544/30/1.5*2.5</f>
        <v>84.294444444444437</v>
      </c>
      <c r="E544" s="11">
        <v>0.3</v>
      </c>
      <c r="F544" s="27">
        <v>0.3</v>
      </c>
      <c r="G544" s="109">
        <f t="shared" si="59"/>
        <v>0.1</v>
      </c>
      <c r="H544" s="109">
        <v>0.1</v>
      </c>
      <c r="I544" s="109">
        <v>0.3</v>
      </c>
      <c r="J544" s="113">
        <f t="shared" si="60"/>
        <v>0.1</v>
      </c>
      <c r="K544" s="12" t="s">
        <v>461</v>
      </c>
      <c r="L544" s="12" t="s">
        <v>430</v>
      </c>
      <c r="M544" s="129">
        <v>0.1</v>
      </c>
      <c r="N544" s="142">
        <f t="shared" si="61"/>
        <v>560.79408000000012</v>
      </c>
      <c r="O544" s="128">
        <f t="shared" si="62"/>
        <v>186.93136000000001</v>
      </c>
      <c r="P544" s="159">
        <f t="shared" si="63"/>
        <v>560.79999999999995</v>
      </c>
      <c r="Q544" s="160">
        <f t="shared" si="64"/>
        <v>186.9</v>
      </c>
    </row>
    <row r="545" spans="1:17" ht="24" thickTop="1" thickBot="1">
      <c r="A545" s="12" t="s">
        <v>467</v>
      </c>
      <c r="B545" s="166">
        <v>2326.8000000000002</v>
      </c>
      <c r="C545" s="9" t="s">
        <v>85</v>
      </c>
      <c r="D545" s="10">
        <f>B545/30/2.25*2.5</f>
        <v>86.177777777777777</v>
      </c>
      <c r="E545" s="11">
        <v>0.3</v>
      </c>
      <c r="F545" s="27">
        <v>0.3</v>
      </c>
      <c r="G545" s="109">
        <f t="shared" si="59"/>
        <v>0.1</v>
      </c>
      <c r="H545" s="109">
        <v>0.1</v>
      </c>
      <c r="I545" s="109">
        <v>0.3</v>
      </c>
      <c r="J545" s="113">
        <f t="shared" si="60"/>
        <v>0.1</v>
      </c>
      <c r="K545" s="12" t="s">
        <v>461</v>
      </c>
      <c r="L545" s="12" t="s">
        <v>430</v>
      </c>
      <c r="M545" s="129">
        <v>0.1</v>
      </c>
      <c r="N545" s="142">
        <f t="shared" si="61"/>
        <v>859.98528000000022</v>
      </c>
      <c r="O545" s="128">
        <f t="shared" si="62"/>
        <v>286.66176000000013</v>
      </c>
      <c r="P545" s="159">
        <f t="shared" si="63"/>
        <v>860</v>
      </c>
      <c r="Q545" s="160">
        <f t="shared" si="64"/>
        <v>286.7</v>
      </c>
    </row>
    <row r="546" spans="1:17" ht="24" thickTop="1" thickBot="1">
      <c r="A546" s="12" t="s">
        <v>467</v>
      </c>
      <c r="B546" s="166">
        <v>2433.6</v>
      </c>
      <c r="C546" s="9" t="s">
        <v>85</v>
      </c>
      <c r="D546" s="10">
        <f>B546/30/3*2.5</f>
        <v>67.599999999999994</v>
      </c>
      <c r="E546" s="11">
        <v>0.3</v>
      </c>
      <c r="F546" s="27">
        <v>0.3</v>
      </c>
      <c r="G546" s="109">
        <f t="shared" si="59"/>
        <v>0.1</v>
      </c>
      <c r="H546" s="109">
        <v>0.1</v>
      </c>
      <c r="I546" s="109">
        <v>0.3</v>
      </c>
      <c r="J546" s="113">
        <f t="shared" si="60"/>
        <v>0.1</v>
      </c>
      <c r="K546" s="12" t="s">
        <v>461</v>
      </c>
      <c r="L546" s="12" t="s">
        <v>430</v>
      </c>
      <c r="M546" s="129">
        <v>0.1</v>
      </c>
      <c r="N546" s="142">
        <f t="shared" si="61"/>
        <v>899.45856000000015</v>
      </c>
      <c r="O546" s="128">
        <f t="shared" si="62"/>
        <v>299.81952000000007</v>
      </c>
      <c r="P546" s="159">
        <f t="shared" si="63"/>
        <v>899.5</v>
      </c>
      <c r="Q546" s="160">
        <f t="shared" si="64"/>
        <v>299.8</v>
      </c>
    </row>
    <row r="547" spans="1:17" ht="35.25" thickTop="1" thickBot="1">
      <c r="A547" s="13" t="s">
        <v>468</v>
      </c>
      <c r="B547" s="167">
        <v>2224.3000000000002</v>
      </c>
      <c r="C547" s="68" t="s">
        <v>101</v>
      </c>
      <c r="D547" s="89">
        <f>B547/28/1*1</f>
        <v>79.439285714285717</v>
      </c>
      <c r="E547" s="25">
        <v>0.85</v>
      </c>
      <c r="F547" s="105">
        <v>0.85</v>
      </c>
      <c r="G547" s="109">
        <f t="shared" si="59"/>
        <v>0.44999999999999996</v>
      </c>
      <c r="H547" s="110">
        <v>0.44999999999999996</v>
      </c>
      <c r="I547" s="110">
        <v>0.85</v>
      </c>
      <c r="J547" s="113">
        <f t="shared" si="60"/>
        <v>0.44999999999999996</v>
      </c>
      <c r="K547" s="69" t="s">
        <v>469</v>
      </c>
      <c r="L547" s="69" t="s">
        <v>470</v>
      </c>
      <c r="M547" s="136">
        <v>0.44999999999999996</v>
      </c>
      <c r="N547" s="142">
        <f t="shared" si="61"/>
        <v>2329.2869600000004</v>
      </c>
      <c r="O547" s="128">
        <f t="shared" si="62"/>
        <v>1233.15192</v>
      </c>
      <c r="P547" s="159">
        <f t="shared" si="63"/>
        <v>2329.3000000000002</v>
      </c>
      <c r="Q547" s="160">
        <f t="shared" si="64"/>
        <v>1233.2</v>
      </c>
    </row>
    <row r="548" spans="1:17" ht="35.25" thickTop="1" thickBot="1">
      <c r="A548" s="12" t="s">
        <v>471</v>
      </c>
      <c r="B548" s="166">
        <v>1711</v>
      </c>
      <c r="C548" s="9" t="s">
        <v>101</v>
      </c>
      <c r="D548" s="89">
        <f>B548/28/1*1</f>
        <v>61.107142857142854</v>
      </c>
      <c r="E548" s="25">
        <v>0.75</v>
      </c>
      <c r="F548" s="105">
        <v>0.75</v>
      </c>
      <c r="G548" s="109">
        <f t="shared" si="59"/>
        <v>0.35</v>
      </c>
      <c r="H548" s="110">
        <v>0.35</v>
      </c>
      <c r="I548" s="110">
        <v>0.75</v>
      </c>
      <c r="J548" s="113">
        <f t="shared" si="60"/>
        <v>0.35</v>
      </c>
      <c r="K548" s="69" t="s">
        <v>472</v>
      </c>
      <c r="L548" s="69" t="s">
        <v>470</v>
      </c>
      <c r="M548" s="136">
        <v>0.35</v>
      </c>
      <c r="N548" s="142">
        <f t="shared" si="61"/>
        <v>1580.9640000000004</v>
      </c>
      <c r="O548" s="128">
        <f t="shared" si="62"/>
        <v>737.78320000000008</v>
      </c>
      <c r="P548" s="159">
        <f t="shared" si="63"/>
        <v>1581</v>
      </c>
      <c r="Q548" s="160">
        <f t="shared" si="64"/>
        <v>737.8</v>
      </c>
    </row>
    <row r="549" spans="1:17" ht="24" thickTop="1" thickBot="1">
      <c r="A549" s="12" t="s">
        <v>473</v>
      </c>
      <c r="B549" s="166">
        <v>2326.1999999999998</v>
      </c>
      <c r="C549" s="9" t="s">
        <v>330</v>
      </c>
      <c r="D549" s="89">
        <f>B549/30/200*1000</f>
        <v>387.69999999999993</v>
      </c>
      <c r="E549" s="11">
        <v>0.6</v>
      </c>
      <c r="F549" s="27">
        <v>0.6</v>
      </c>
      <c r="G549" s="109">
        <f t="shared" si="59"/>
        <v>0.19999999999999996</v>
      </c>
      <c r="H549" s="109">
        <v>0.19999999999999996</v>
      </c>
      <c r="I549" s="109">
        <v>0.6</v>
      </c>
      <c r="J549" s="113">
        <f t="shared" si="60"/>
        <v>0.19999999999999996</v>
      </c>
      <c r="K549" s="12" t="s">
        <v>461</v>
      </c>
      <c r="L549" s="12" t="s">
        <v>430</v>
      </c>
      <c r="M549" s="129">
        <v>0.19999999999999996</v>
      </c>
      <c r="N549" s="142">
        <f t="shared" si="61"/>
        <v>1719.5270400000002</v>
      </c>
      <c r="O549" s="128">
        <f t="shared" si="62"/>
        <v>573.17567999999994</v>
      </c>
      <c r="P549" s="159">
        <f t="shared" si="63"/>
        <v>1719.5</v>
      </c>
      <c r="Q549" s="160">
        <f t="shared" si="64"/>
        <v>573.20000000000005</v>
      </c>
    </row>
    <row r="550" spans="1:17" ht="69" thickTop="1" thickBot="1">
      <c r="A550" s="12" t="s">
        <v>474</v>
      </c>
      <c r="B550" s="167">
        <v>968.3</v>
      </c>
      <c r="C550" s="9" t="s">
        <v>354</v>
      </c>
      <c r="D550" s="10">
        <f>B550/50/100*300</f>
        <v>58.097999999999999</v>
      </c>
      <c r="E550" s="11">
        <v>0.2</v>
      </c>
      <c r="F550" s="27">
        <v>0.2</v>
      </c>
      <c r="G550" s="109">
        <f t="shared" si="59"/>
        <v>0.1</v>
      </c>
      <c r="H550" s="109">
        <v>0.1</v>
      </c>
      <c r="I550" s="109">
        <v>0.2</v>
      </c>
      <c r="J550" s="113">
        <f t="shared" si="60"/>
        <v>0.1</v>
      </c>
      <c r="K550" s="12" t="s">
        <v>475</v>
      </c>
      <c r="L550" s="12" t="s">
        <v>476</v>
      </c>
      <c r="M550" s="129">
        <v>0.1</v>
      </c>
      <c r="N550" s="142">
        <f t="shared" si="61"/>
        <v>238.58912000000004</v>
      </c>
      <c r="O550" s="128">
        <f t="shared" si="62"/>
        <v>119.29456000000002</v>
      </c>
      <c r="P550" s="159">
        <f t="shared" si="63"/>
        <v>238.6</v>
      </c>
      <c r="Q550" s="160">
        <f t="shared" si="64"/>
        <v>119.3</v>
      </c>
    </row>
    <row r="551" spans="1:17" ht="69" thickTop="1" thickBot="1">
      <c r="A551" s="12" t="s">
        <v>474</v>
      </c>
      <c r="B551" s="167">
        <v>280.60000000000002</v>
      </c>
      <c r="C551" s="9" t="s">
        <v>354</v>
      </c>
      <c r="D551" s="10">
        <f>B551/50/25*300</f>
        <v>67.344000000000008</v>
      </c>
      <c r="E551" s="11">
        <v>0.25</v>
      </c>
      <c r="F551" s="27">
        <v>0.25</v>
      </c>
      <c r="G551" s="109">
        <f t="shared" si="59"/>
        <v>0.1</v>
      </c>
      <c r="H551" s="109">
        <v>0.1</v>
      </c>
      <c r="I551" s="109">
        <v>0.25</v>
      </c>
      <c r="J551" s="113">
        <f t="shared" si="60"/>
        <v>0.1</v>
      </c>
      <c r="K551" s="12" t="s">
        <v>475</v>
      </c>
      <c r="L551" s="12" t="s">
        <v>476</v>
      </c>
      <c r="M551" s="129">
        <v>0.1</v>
      </c>
      <c r="N551" s="142">
        <f t="shared" si="61"/>
        <v>86.424800000000019</v>
      </c>
      <c r="O551" s="128">
        <f t="shared" si="62"/>
        <v>34.56992000000001</v>
      </c>
      <c r="P551" s="159">
        <f t="shared" si="63"/>
        <v>86.4</v>
      </c>
      <c r="Q551" s="160">
        <f t="shared" si="64"/>
        <v>34.6</v>
      </c>
    </row>
    <row r="552" spans="1:17" ht="69" thickTop="1" thickBot="1">
      <c r="A552" s="12" t="s">
        <v>477</v>
      </c>
      <c r="B552" s="167">
        <v>968.3</v>
      </c>
      <c r="C552" s="9" t="s">
        <v>354</v>
      </c>
      <c r="D552" s="10">
        <f>B552/50/100*300</f>
        <v>58.097999999999999</v>
      </c>
      <c r="E552" s="11">
        <v>0.2</v>
      </c>
      <c r="F552" s="27">
        <v>0.2</v>
      </c>
      <c r="G552" s="109">
        <f t="shared" si="59"/>
        <v>0.1</v>
      </c>
      <c r="H552" s="109">
        <v>0.1</v>
      </c>
      <c r="I552" s="109">
        <v>0.2</v>
      </c>
      <c r="J552" s="113">
        <f t="shared" si="60"/>
        <v>0.1</v>
      </c>
      <c r="K552" s="12" t="s">
        <v>475</v>
      </c>
      <c r="L552" s="12" t="s">
        <v>476</v>
      </c>
      <c r="M552" s="129">
        <v>0.1</v>
      </c>
      <c r="N552" s="142">
        <f t="shared" si="61"/>
        <v>238.58912000000004</v>
      </c>
      <c r="O552" s="128">
        <f t="shared" si="62"/>
        <v>119.29456000000002</v>
      </c>
      <c r="P552" s="159">
        <f t="shared" si="63"/>
        <v>238.6</v>
      </c>
      <c r="Q552" s="160">
        <f t="shared" si="64"/>
        <v>119.3</v>
      </c>
    </row>
    <row r="553" spans="1:17" ht="69" thickTop="1" thickBot="1">
      <c r="A553" s="12" t="s">
        <v>477</v>
      </c>
      <c r="B553" s="167">
        <v>280.60000000000002</v>
      </c>
      <c r="C553" s="9" t="s">
        <v>354</v>
      </c>
      <c r="D553" s="10">
        <f>B553/50/25*300</f>
        <v>67.344000000000008</v>
      </c>
      <c r="E553" s="11">
        <v>0.25</v>
      </c>
      <c r="F553" s="27">
        <v>0.25</v>
      </c>
      <c r="G553" s="109">
        <f t="shared" si="59"/>
        <v>0.1</v>
      </c>
      <c r="H553" s="109">
        <v>0.1</v>
      </c>
      <c r="I553" s="109">
        <v>0.25</v>
      </c>
      <c r="J553" s="113">
        <f t="shared" si="60"/>
        <v>0.1</v>
      </c>
      <c r="K553" s="12" t="s">
        <v>475</v>
      </c>
      <c r="L553" s="12" t="s">
        <v>476</v>
      </c>
      <c r="M553" s="129">
        <v>0.1</v>
      </c>
      <c r="N553" s="142">
        <f t="shared" si="61"/>
        <v>86.424800000000019</v>
      </c>
      <c r="O553" s="128">
        <f t="shared" si="62"/>
        <v>34.56992000000001</v>
      </c>
      <c r="P553" s="159">
        <f t="shared" si="63"/>
        <v>86.4</v>
      </c>
      <c r="Q553" s="160">
        <f t="shared" si="64"/>
        <v>34.6</v>
      </c>
    </row>
    <row r="554" spans="1:17" ht="69" thickTop="1" thickBot="1">
      <c r="A554" s="12" t="s">
        <v>478</v>
      </c>
      <c r="B554" s="166">
        <v>1079.7</v>
      </c>
      <c r="C554" s="9" t="s">
        <v>354</v>
      </c>
      <c r="D554" s="10">
        <f>B554/50/100*300</f>
        <v>64.782000000000011</v>
      </c>
      <c r="E554" s="11">
        <v>0.3</v>
      </c>
      <c r="F554" s="27">
        <v>0.3</v>
      </c>
      <c r="G554" s="109">
        <f t="shared" si="59"/>
        <v>0.1</v>
      </c>
      <c r="H554" s="109">
        <v>0.1</v>
      </c>
      <c r="I554" s="109">
        <v>0.3</v>
      </c>
      <c r="J554" s="113">
        <f t="shared" si="60"/>
        <v>0.1</v>
      </c>
      <c r="K554" s="12" t="s">
        <v>475</v>
      </c>
      <c r="L554" s="12" t="s">
        <v>476</v>
      </c>
      <c r="M554" s="129">
        <v>0.1</v>
      </c>
      <c r="N554" s="142">
        <f t="shared" si="61"/>
        <v>399.05712000000011</v>
      </c>
      <c r="O554" s="128">
        <f t="shared" si="62"/>
        <v>133.01904000000005</v>
      </c>
      <c r="P554" s="159">
        <f t="shared" si="63"/>
        <v>399.1</v>
      </c>
      <c r="Q554" s="160">
        <f t="shared" si="64"/>
        <v>133</v>
      </c>
    </row>
    <row r="555" spans="1:17" ht="69" thickTop="1" thickBot="1">
      <c r="A555" s="12" t="s">
        <v>478</v>
      </c>
      <c r="B555" s="166">
        <v>312.89999999999998</v>
      </c>
      <c r="C555" s="9" t="s">
        <v>354</v>
      </c>
      <c r="D555" s="10">
        <f>B555/50/25*300</f>
        <v>75.095999999999989</v>
      </c>
      <c r="E555" s="11">
        <v>0.35</v>
      </c>
      <c r="F555" s="27">
        <v>0.35</v>
      </c>
      <c r="G555" s="109">
        <f t="shared" si="59"/>
        <v>0.1</v>
      </c>
      <c r="H555" s="109">
        <v>0.1</v>
      </c>
      <c r="I555" s="109">
        <v>0.35</v>
      </c>
      <c r="J555" s="113">
        <f t="shared" si="60"/>
        <v>0.1</v>
      </c>
      <c r="K555" s="12" t="s">
        <v>475</v>
      </c>
      <c r="L555" s="12" t="s">
        <v>476</v>
      </c>
      <c r="M555" s="129">
        <v>0.1</v>
      </c>
      <c r="N555" s="142">
        <f t="shared" si="61"/>
        <v>134.92248000000001</v>
      </c>
      <c r="O555" s="128">
        <f t="shared" si="62"/>
        <v>38.549280000000003</v>
      </c>
      <c r="P555" s="159">
        <f t="shared" si="63"/>
        <v>134.9</v>
      </c>
      <c r="Q555" s="160">
        <f t="shared" si="64"/>
        <v>38.5</v>
      </c>
    </row>
    <row r="556" spans="1:17" ht="69" thickTop="1" thickBot="1">
      <c r="A556" s="15" t="s">
        <v>479</v>
      </c>
      <c r="B556" s="167">
        <v>280.60000000000002</v>
      </c>
      <c r="C556" s="9" t="s">
        <v>354</v>
      </c>
      <c r="D556" s="10">
        <f>(B556/50)/25*300</f>
        <v>67.344000000000008</v>
      </c>
      <c r="E556" s="11">
        <v>0.25</v>
      </c>
      <c r="F556" s="27">
        <v>0.25</v>
      </c>
      <c r="G556" s="109">
        <f t="shared" si="59"/>
        <v>0.1</v>
      </c>
      <c r="H556" s="109">
        <v>0.1</v>
      </c>
      <c r="I556" s="109">
        <v>0.25</v>
      </c>
      <c r="J556" s="113">
        <f t="shared" si="60"/>
        <v>0.1</v>
      </c>
      <c r="K556" s="12" t="s">
        <v>475</v>
      </c>
      <c r="L556" s="12" t="s">
        <v>476</v>
      </c>
      <c r="M556" s="129">
        <v>0.1</v>
      </c>
      <c r="N556" s="142">
        <f t="shared" si="61"/>
        <v>86.424800000000019</v>
      </c>
      <c r="O556" s="128">
        <f t="shared" si="62"/>
        <v>34.56992000000001</v>
      </c>
      <c r="P556" s="159">
        <f t="shared" si="63"/>
        <v>86.4</v>
      </c>
      <c r="Q556" s="160">
        <f t="shared" si="64"/>
        <v>34.6</v>
      </c>
    </row>
    <row r="557" spans="1:17" ht="69" thickTop="1" thickBot="1">
      <c r="A557" s="15" t="s">
        <v>479</v>
      </c>
      <c r="B557" s="167">
        <v>968.3</v>
      </c>
      <c r="C557" s="9" t="s">
        <v>354</v>
      </c>
      <c r="D557" s="10">
        <f>(B557/50)/100*300</f>
        <v>58.097999999999999</v>
      </c>
      <c r="E557" s="11">
        <v>0.2</v>
      </c>
      <c r="F557" s="27">
        <v>0.2</v>
      </c>
      <c r="G557" s="109">
        <f t="shared" si="59"/>
        <v>0.1</v>
      </c>
      <c r="H557" s="109">
        <v>0.1</v>
      </c>
      <c r="I557" s="109">
        <v>0.2</v>
      </c>
      <c r="J557" s="113">
        <f t="shared" si="60"/>
        <v>0.1</v>
      </c>
      <c r="K557" s="12" t="s">
        <v>475</v>
      </c>
      <c r="L557" s="12" t="s">
        <v>476</v>
      </c>
      <c r="M557" s="129">
        <v>0.1</v>
      </c>
      <c r="N557" s="142">
        <f t="shared" si="61"/>
        <v>238.58912000000004</v>
      </c>
      <c r="O557" s="128">
        <f t="shared" si="62"/>
        <v>119.29456000000002</v>
      </c>
      <c r="P557" s="159">
        <f t="shared" si="63"/>
        <v>238.6</v>
      </c>
      <c r="Q557" s="160">
        <f t="shared" si="64"/>
        <v>119.3</v>
      </c>
    </row>
    <row r="558" spans="1:17" ht="69" thickTop="1" thickBot="1">
      <c r="A558" s="15" t="s">
        <v>479</v>
      </c>
      <c r="B558" s="167">
        <v>1936.6</v>
      </c>
      <c r="C558" s="9" t="s">
        <v>354</v>
      </c>
      <c r="D558" s="10">
        <f>(B558/50)/200*300</f>
        <v>58.097999999999999</v>
      </c>
      <c r="E558" s="11">
        <v>0.2</v>
      </c>
      <c r="F558" s="27">
        <v>0.2</v>
      </c>
      <c r="G558" s="109">
        <f t="shared" si="59"/>
        <v>0.1</v>
      </c>
      <c r="H558" s="109">
        <v>0.1</v>
      </c>
      <c r="I558" s="109">
        <v>0.2</v>
      </c>
      <c r="J558" s="113">
        <f t="shared" si="60"/>
        <v>0.1</v>
      </c>
      <c r="K558" s="12" t="s">
        <v>475</v>
      </c>
      <c r="L558" s="12" t="s">
        <v>476</v>
      </c>
      <c r="M558" s="129">
        <v>0.1</v>
      </c>
      <c r="N558" s="142">
        <f t="shared" si="61"/>
        <v>477.17824000000007</v>
      </c>
      <c r="O558" s="128">
        <f t="shared" si="62"/>
        <v>238.58912000000004</v>
      </c>
      <c r="P558" s="159">
        <f t="shared" si="63"/>
        <v>477.2</v>
      </c>
      <c r="Q558" s="160">
        <f t="shared" si="64"/>
        <v>238.6</v>
      </c>
    </row>
    <row r="559" spans="1:17" ht="35.25" thickTop="1" thickBot="1">
      <c r="A559" s="12" t="s">
        <v>480</v>
      </c>
      <c r="B559" s="166">
        <v>515.70000000000005</v>
      </c>
      <c r="C559" s="9" t="s">
        <v>348</v>
      </c>
      <c r="D559" s="10">
        <f>B559/60/25*400</f>
        <v>137.52000000000001</v>
      </c>
      <c r="E559" s="11">
        <v>0.55000000000000004</v>
      </c>
      <c r="F559" s="27">
        <v>0.55000000000000004</v>
      </c>
      <c r="G559" s="109">
        <f t="shared" si="59"/>
        <v>0.15000000000000002</v>
      </c>
      <c r="H559" s="109">
        <v>0.15000000000000002</v>
      </c>
      <c r="I559" s="109">
        <v>0.55000000000000004</v>
      </c>
      <c r="J559" s="113">
        <f t="shared" si="60"/>
        <v>0.15000000000000002</v>
      </c>
      <c r="K559" s="12" t="s">
        <v>481</v>
      </c>
      <c r="L559" s="12" t="s">
        <v>482</v>
      </c>
      <c r="M559" s="129">
        <v>0.15000000000000002</v>
      </c>
      <c r="N559" s="142">
        <f t="shared" si="61"/>
        <v>349.43832000000009</v>
      </c>
      <c r="O559" s="128">
        <f t="shared" si="62"/>
        <v>95.301360000000045</v>
      </c>
      <c r="P559" s="159">
        <f t="shared" si="63"/>
        <v>349.4</v>
      </c>
      <c r="Q559" s="160">
        <f t="shared" si="64"/>
        <v>95.3</v>
      </c>
    </row>
    <row r="560" spans="1:17" ht="35.25" thickTop="1" thickBot="1">
      <c r="A560" s="12" t="s">
        <v>480</v>
      </c>
      <c r="B560" s="166">
        <v>898.7</v>
      </c>
      <c r="C560" s="9" t="s">
        <v>348</v>
      </c>
      <c r="D560" s="10">
        <f>B560/60/100*400</f>
        <v>59.913333333333327</v>
      </c>
      <c r="E560" s="11">
        <v>0.55000000000000004</v>
      </c>
      <c r="F560" s="27">
        <v>0.55000000000000004</v>
      </c>
      <c r="G560" s="109">
        <f t="shared" si="59"/>
        <v>0.15000000000000002</v>
      </c>
      <c r="H560" s="109">
        <v>0.15000000000000002</v>
      </c>
      <c r="I560" s="109">
        <v>0.55000000000000004</v>
      </c>
      <c r="J560" s="113">
        <f t="shared" si="60"/>
        <v>0.15000000000000002</v>
      </c>
      <c r="K560" s="12" t="s">
        <v>481</v>
      </c>
      <c r="L560" s="12" t="s">
        <v>482</v>
      </c>
      <c r="M560" s="129">
        <v>0.15000000000000002</v>
      </c>
      <c r="N560" s="142">
        <f t="shared" si="61"/>
        <v>608.95912000000021</v>
      </c>
      <c r="O560" s="128">
        <f t="shared" si="62"/>
        <v>166.07976000000005</v>
      </c>
      <c r="P560" s="159">
        <f t="shared" si="63"/>
        <v>609</v>
      </c>
      <c r="Q560" s="160">
        <f t="shared" si="64"/>
        <v>166.1</v>
      </c>
    </row>
    <row r="561" spans="1:17" ht="35.25" thickTop="1" thickBot="1">
      <c r="A561" s="12" t="s">
        <v>480</v>
      </c>
      <c r="B561" s="166">
        <v>2004.8</v>
      </c>
      <c r="C561" s="9" t="s">
        <v>348</v>
      </c>
      <c r="D561" s="10">
        <f>B561/60/200*400</f>
        <v>66.826666666666668</v>
      </c>
      <c r="E561" s="11">
        <v>0.55000000000000004</v>
      </c>
      <c r="F561" s="27">
        <v>0.55000000000000004</v>
      </c>
      <c r="G561" s="109">
        <f t="shared" si="59"/>
        <v>0.15000000000000002</v>
      </c>
      <c r="H561" s="109">
        <v>0.15000000000000002</v>
      </c>
      <c r="I561" s="109">
        <v>0.55000000000000004</v>
      </c>
      <c r="J561" s="113">
        <f t="shared" si="60"/>
        <v>0.15000000000000002</v>
      </c>
      <c r="K561" s="12" t="s">
        <v>481</v>
      </c>
      <c r="L561" s="12" t="s">
        <v>482</v>
      </c>
      <c r="M561" s="129">
        <v>0.15000000000000002</v>
      </c>
      <c r="N561" s="142">
        <f t="shared" si="61"/>
        <v>1358.4524800000004</v>
      </c>
      <c r="O561" s="128">
        <f t="shared" si="62"/>
        <v>370.48704000000009</v>
      </c>
      <c r="P561" s="159">
        <f t="shared" si="63"/>
        <v>1358.5</v>
      </c>
      <c r="Q561" s="160">
        <f t="shared" si="64"/>
        <v>370.5</v>
      </c>
    </row>
    <row r="562" spans="1:17" ht="35.25" thickTop="1" thickBot="1">
      <c r="A562" s="12" t="s">
        <v>483</v>
      </c>
      <c r="B562" s="166">
        <v>574.1</v>
      </c>
      <c r="C562" s="9" t="s">
        <v>348</v>
      </c>
      <c r="D562" s="10">
        <f>B562/60/25*400</f>
        <v>153.09333333333333</v>
      </c>
      <c r="E562" s="11">
        <v>0.65</v>
      </c>
      <c r="F562" s="27">
        <v>0.65</v>
      </c>
      <c r="G562" s="109">
        <f t="shared" si="59"/>
        <v>0.25</v>
      </c>
      <c r="H562" s="109">
        <v>0.25</v>
      </c>
      <c r="I562" s="109">
        <v>0.65</v>
      </c>
      <c r="J562" s="113">
        <f t="shared" si="60"/>
        <v>0.25</v>
      </c>
      <c r="K562" s="67" t="s">
        <v>484</v>
      </c>
      <c r="L562" s="67" t="s">
        <v>485</v>
      </c>
      <c r="M562" s="137">
        <v>0.25</v>
      </c>
      <c r="N562" s="142">
        <f t="shared" si="61"/>
        <v>459.73928000000006</v>
      </c>
      <c r="O562" s="128">
        <f t="shared" si="62"/>
        <v>176.82280000000003</v>
      </c>
      <c r="P562" s="159">
        <f t="shared" si="63"/>
        <v>459.7</v>
      </c>
      <c r="Q562" s="160">
        <f t="shared" si="64"/>
        <v>176.8</v>
      </c>
    </row>
    <row r="563" spans="1:17" ht="35.25" thickTop="1" thickBot="1">
      <c r="A563" s="12" t="s">
        <v>483</v>
      </c>
      <c r="B563" s="166">
        <v>1010</v>
      </c>
      <c r="C563" s="9" t="s">
        <v>348</v>
      </c>
      <c r="D563" s="10">
        <f>B563/60/100*400</f>
        <v>67.333333333333329</v>
      </c>
      <c r="E563" s="11">
        <v>0.6</v>
      </c>
      <c r="F563" s="27">
        <v>0.6</v>
      </c>
      <c r="G563" s="109">
        <f t="shared" si="59"/>
        <v>0.19999999999999996</v>
      </c>
      <c r="H563" s="109">
        <v>0.19999999999999996</v>
      </c>
      <c r="I563" s="109">
        <v>0.6</v>
      </c>
      <c r="J563" s="113">
        <f t="shared" si="60"/>
        <v>0.19999999999999996</v>
      </c>
      <c r="K563" s="67" t="s">
        <v>484</v>
      </c>
      <c r="L563" s="67" t="s">
        <v>485</v>
      </c>
      <c r="M563" s="137">
        <v>0.19999999999999996</v>
      </c>
      <c r="N563" s="142">
        <f t="shared" si="61"/>
        <v>746.5920000000001</v>
      </c>
      <c r="O563" s="128">
        <f t="shared" si="62"/>
        <v>248.86399999999998</v>
      </c>
      <c r="P563" s="159">
        <f t="shared" si="63"/>
        <v>746.6</v>
      </c>
      <c r="Q563" s="160">
        <f t="shared" si="64"/>
        <v>248.9</v>
      </c>
    </row>
    <row r="564" spans="1:17" ht="35.25" thickTop="1" thickBot="1">
      <c r="A564" s="12" t="s">
        <v>483</v>
      </c>
      <c r="B564" s="166">
        <v>2004.8</v>
      </c>
      <c r="C564" s="9" t="s">
        <v>348</v>
      </c>
      <c r="D564" s="10">
        <f>B564/60/200*400</f>
        <v>66.826666666666668</v>
      </c>
      <c r="E564" s="11">
        <v>0.55000000000000004</v>
      </c>
      <c r="F564" s="27">
        <v>0.55000000000000004</v>
      </c>
      <c r="G564" s="109">
        <f t="shared" si="59"/>
        <v>0.15000000000000002</v>
      </c>
      <c r="H564" s="109">
        <v>0.15000000000000002</v>
      </c>
      <c r="I564" s="109">
        <v>0.55000000000000004</v>
      </c>
      <c r="J564" s="113">
        <f t="shared" si="60"/>
        <v>0.15000000000000002</v>
      </c>
      <c r="K564" s="67" t="s">
        <v>484</v>
      </c>
      <c r="L564" s="67" t="s">
        <v>485</v>
      </c>
      <c r="M564" s="137">
        <v>0.15000000000000002</v>
      </c>
      <c r="N564" s="142">
        <f t="shared" si="61"/>
        <v>1358.4524800000004</v>
      </c>
      <c r="O564" s="128">
        <f t="shared" si="62"/>
        <v>370.48704000000009</v>
      </c>
      <c r="P564" s="159">
        <f t="shared" si="63"/>
        <v>1358.5</v>
      </c>
      <c r="Q564" s="160">
        <f t="shared" si="64"/>
        <v>370.5</v>
      </c>
    </row>
    <row r="565" spans="1:17" ht="35.25" thickTop="1" thickBot="1">
      <c r="A565" s="12" t="s">
        <v>486</v>
      </c>
      <c r="B565" s="166">
        <v>898.7</v>
      </c>
      <c r="C565" s="9" t="s">
        <v>348</v>
      </c>
      <c r="D565" s="10">
        <f>B565/60/100*400</f>
        <v>59.913333333333327</v>
      </c>
      <c r="E565" s="11">
        <v>0.55000000000000004</v>
      </c>
      <c r="F565" s="27">
        <v>0.55000000000000004</v>
      </c>
      <c r="G565" s="109">
        <f t="shared" si="59"/>
        <v>0.15000000000000002</v>
      </c>
      <c r="H565" s="109">
        <v>0.15000000000000002</v>
      </c>
      <c r="I565" s="109">
        <v>0.55000000000000004</v>
      </c>
      <c r="J565" s="113">
        <f t="shared" si="60"/>
        <v>0.15000000000000002</v>
      </c>
      <c r="K565" s="67" t="s">
        <v>484</v>
      </c>
      <c r="L565" s="67" t="s">
        <v>485</v>
      </c>
      <c r="M565" s="137">
        <v>0.15000000000000002</v>
      </c>
      <c r="N565" s="142">
        <f t="shared" si="61"/>
        <v>608.95912000000021</v>
      </c>
      <c r="O565" s="128">
        <f t="shared" si="62"/>
        <v>166.07976000000005</v>
      </c>
      <c r="P565" s="159">
        <f t="shared" si="63"/>
        <v>609</v>
      </c>
      <c r="Q565" s="160">
        <f t="shared" si="64"/>
        <v>166.1</v>
      </c>
    </row>
    <row r="566" spans="1:17" ht="35.25" thickTop="1" thickBot="1">
      <c r="A566" s="12" t="s">
        <v>487</v>
      </c>
      <c r="B566" s="171">
        <v>743.5</v>
      </c>
      <c r="C566" s="9" t="s">
        <v>348</v>
      </c>
      <c r="D566" s="27">
        <f>B566/60/50*400</f>
        <v>99.13333333333334</v>
      </c>
      <c r="E566" s="11">
        <v>0.7</v>
      </c>
      <c r="F566" s="27">
        <v>0.7</v>
      </c>
      <c r="G566" s="109">
        <f t="shared" si="59"/>
        <v>0.29999999999999993</v>
      </c>
      <c r="H566" s="109">
        <v>0.29999999999999993</v>
      </c>
      <c r="I566" s="109">
        <v>0.7</v>
      </c>
      <c r="J566" s="113">
        <f t="shared" si="60"/>
        <v>0.29999999999999993</v>
      </c>
      <c r="K566" s="67" t="s">
        <v>484</v>
      </c>
      <c r="L566" s="67" t="s">
        <v>485</v>
      </c>
      <c r="M566" s="137">
        <v>0.29999999999999993</v>
      </c>
      <c r="N566" s="142">
        <f t="shared" si="61"/>
        <v>641.19440000000009</v>
      </c>
      <c r="O566" s="128">
        <f t="shared" si="62"/>
        <v>274.79759999999999</v>
      </c>
      <c r="P566" s="159">
        <f t="shared" si="63"/>
        <v>641.20000000000005</v>
      </c>
      <c r="Q566" s="160">
        <f t="shared" si="64"/>
        <v>274.8</v>
      </c>
    </row>
    <row r="567" spans="1:17" ht="35.25" thickTop="1" thickBot="1">
      <c r="A567" s="12" t="s">
        <v>487</v>
      </c>
      <c r="B567" s="166">
        <v>1184.5999999999999</v>
      </c>
      <c r="C567" s="9" t="s">
        <v>348</v>
      </c>
      <c r="D567" s="27">
        <f>B567/60/150*400</f>
        <v>52.648888888888891</v>
      </c>
      <c r="E567" s="11">
        <v>0.4</v>
      </c>
      <c r="F567" s="27">
        <v>0.4</v>
      </c>
      <c r="G567" s="109">
        <f t="shared" si="59"/>
        <v>0.1</v>
      </c>
      <c r="H567" s="109">
        <v>0.1</v>
      </c>
      <c r="I567" s="109">
        <v>0.4</v>
      </c>
      <c r="J567" s="113">
        <f t="shared" si="60"/>
        <v>0.1</v>
      </c>
      <c r="K567" s="67" t="s">
        <v>484</v>
      </c>
      <c r="L567" s="67" t="s">
        <v>485</v>
      </c>
      <c r="M567" s="137">
        <v>0.1</v>
      </c>
      <c r="N567" s="142">
        <f t="shared" si="61"/>
        <v>583.77088000000015</v>
      </c>
      <c r="O567" s="128">
        <f t="shared" si="62"/>
        <v>145.94272000000004</v>
      </c>
      <c r="P567" s="159">
        <f t="shared" si="63"/>
        <v>583.79999999999995</v>
      </c>
      <c r="Q567" s="160">
        <f t="shared" si="64"/>
        <v>145.9</v>
      </c>
    </row>
    <row r="568" spans="1:17" ht="35.25" thickTop="1" thickBot="1">
      <c r="A568" s="12" t="s">
        <v>487</v>
      </c>
      <c r="B568" s="166">
        <v>1577.2</v>
      </c>
      <c r="C568" s="9" t="s">
        <v>348</v>
      </c>
      <c r="D568" s="10">
        <f>B568/60/200*400</f>
        <v>52.573333333333338</v>
      </c>
      <c r="E568" s="11">
        <v>0.55000000000000004</v>
      </c>
      <c r="F568" s="27">
        <v>0.55000000000000004</v>
      </c>
      <c r="G568" s="109">
        <f t="shared" si="59"/>
        <v>0.15000000000000002</v>
      </c>
      <c r="H568" s="109">
        <v>0.15000000000000002</v>
      </c>
      <c r="I568" s="109">
        <v>0.55000000000000004</v>
      </c>
      <c r="J568" s="113">
        <f t="shared" si="60"/>
        <v>0.15000000000000002</v>
      </c>
      <c r="K568" s="67" t="s">
        <v>484</v>
      </c>
      <c r="L568" s="67" t="s">
        <v>485</v>
      </c>
      <c r="M568" s="137">
        <v>0.15000000000000002</v>
      </c>
      <c r="N568" s="142">
        <f t="shared" si="61"/>
        <v>1068.7107200000003</v>
      </c>
      <c r="O568" s="128">
        <f t="shared" si="62"/>
        <v>291.46656000000013</v>
      </c>
      <c r="P568" s="159">
        <f t="shared" si="63"/>
        <v>1068.7</v>
      </c>
      <c r="Q568" s="160">
        <f t="shared" si="64"/>
        <v>291.5</v>
      </c>
    </row>
    <row r="569" spans="1:17" ht="35.25" thickTop="1" thickBot="1">
      <c r="A569" s="12" t="s">
        <v>487</v>
      </c>
      <c r="B569" s="166">
        <v>2019.4</v>
      </c>
      <c r="C569" s="9" t="s">
        <v>348</v>
      </c>
      <c r="D569" s="10">
        <f>B569/60/300*400</f>
        <v>44.875555555555557</v>
      </c>
      <c r="E569" s="11">
        <v>0.65</v>
      </c>
      <c r="F569" s="27">
        <v>0.65</v>
      </c>
      <c r="G569" s="109">
        <f t="shared" si="59"/>
        <v>0.25</v>
      </c>
      <c r="H569" s="109">
        <v>0.25</v>
      </c>
      <c r="I569" s="109">
        <v>0.65</v>
      </c>
      <c r="J569" s="113">
        <f t="shared" si="60"/>
        <v>0.25</v>
      </c>
      <c r="K569" s="67" t="s">
        <v>484</v>
      </c>
      <c r="L569" s="67" t="s">
        <v>485</v>
      </c>
      <c r="M569" s="137">
        <v>0.25</v>
      </c>
      <c r="N569" s="142">
        <f t="shared" si="61"/>
        <v>1617.1355200000003</v>
      </c>
      <c r="O569" s="128">
        <f t="shared" si="62"/>
        <v>621.9752000000002</v>
      </c>
      <c r="P569" s="159">
        <f t="shared" si="63"/>
        <v>1617.1</v>
      </c>
      <c r="Q569" s="160">
        <f t="shared" si="64"/>
        <v>622</v>
      </c>
    </row>
    <row r="570" spans="1:17" ht="35.25" thickTop="1" thickBot="1">
      <c r="A570" s="15" t="s">
        <v>488</v>
      </c>
      <c r="B570" s="166">
        <v>743.5</v>
      </c>
      <c r="C570" s="10" t="s">
        <v>348</v>
      </c>
      <c r="D570" s="27">
        <f>B570/60/50*400</f>
        <v>99.13333333333334</v>
      </c>
      <c r="E570" s="11">
        <v>0.7</v>
      </c>
      <c r="F570" s="27">
        <v>0.7</v>
      </c>
      <c r="G570" s="109">
        <f t="shared" si="59"/>
        <v>0.29999999999999993</v>
      </c>
      <c r="H570" s="109">
        <v>0.29999999999999993</v>
      </c>
      <c r="I570" s="109">
        <v>0.7</v>
      </c>
      <c r="J570" s="113">
        <f t="shared" si="60"/>
        <v>0.29999999999999993</v>
      </c>
      <c r="K570" s="67" t="s">
        <v>484</v>
      </c>
      <c r="L570" s="67" t="s">
        <v>485</v>
      </c>
      <c r="M570" s="137">
        <v>0.29999999999999993</v>
      </c>
      <c r="N570" s="142">
        <f t="shared" si="61"/>
        <v>641.19440000000009</v>
      </c>
      <c r="O570" s="128">
        <f t="shared" si="62"/>
        <v>274.79759999999999</v>
      </c>
      <c r="P570" s="159">
        <f t="shared" si="63"/>
        <v>641.20000000000005</v>
      </c>
      <c r="Q570" s="160">
        <f t="shared" si="64"/>
        <v>274.8</v>
      </c>
    </row>
    <row r="571" spans="1:17" ht="35.25" thickTop="1" thickBot="1">
      <c r="A571" s="15" t="s">
        <v>488</v>
      </c>
      <c r="B571" s="166">
        <v>1577.2</v>
      </c>
      <c r="C571" s="10" t="s">
        <v>348</v>
      </c>
      <c r="D571" s="10">
        <f>B571/60/200*400</f>
        <v>52.573333333333338</v>
      </c>
      <c r="E571" s="11">
        <v>0.55000000000000004</v>
      </c>
      <c r="F571" s="27">
        <v>0.55000000000000004</v>
      </c>
      <c r="G571" s="109">
        <f t="shared" si="59"/>
        <v>0.15000000000000002</v>
      </c>
      <c r="H571" s="109">
        <v>0.15000000000000002</v>
      </c>
      <c r="I571" s="109">
        <v>0.55000000000000004</v>
      </c>
      <c r="J571" s="113">
        <f t="shared" si="60"/>
        <v>0.15000000000000002</v>
      </c>
      <c r="K571" s="67" t="s">
        <v>484</v>
      </c>
      <c r="L571" s="67" t="s">
        <v>485</v>
      </c>
      <c r="M571" s="137">
        <v>0.15000000000000002</v>
      </c>
      <c r="N571" s="142">
        <f t="shared" si="61"/>
        <v>1068.7107200000003</v>
      </c>
      <c r="O571" s="128">
        <f t="shared" si="62"/>
        <v>291.46656000000013</v>
      </c>
      <c r="P571" s="159">
        <f t="shared" si="63"/>
        <v>1068.7</v>
      </c>
      <c r="Q571" s="160">
        <f t="shared" si="64"/>
        <v>291.5</v>
      </c>
    </row>
    <row r="572" spans="1:17" ht="35.25" thickTop="1" thickBot="1">
      <c r="A572" s="15" t="s">
        <v>488</v>
      </c>
      <c r="B572" s="166">
        <v>2019.4</v>
      </c>
      <c r="C572" s="10" t="s">
        <v>348</v>
      </c>
      <c r="D572" s="10">
        <f>(B572/60)/300*400</f>
        <v>44.875555555555557</v>
      </c>
      <c r="E572" s="11">
        <v>0.65</v>
      </c>
      <c r="F572" s="27">
        <v>0.65</v>
      </c>
      <c r="G572" s="109">
        <f t="shared" si="59"/>
        <v>0.25</v>
      </c>
      <c r="H572" s="109">
        <v>0.25</v>
      </c>
      <c r="I572" s="109">
        <v>0.65</v>
      </c>
      <c r="J572" s="113">
        <f t="shared" si="60"/>
        <v>0.25</v>
      </c>
      <c r="K572" s="67" t="s">
        <v>484</v>
      </c>
      <c r="L572" s="67" t="s">
        <v>485</v>
      </c>
      <c r="M572" s="137">
        <v>0.25</v>
      </c>
      <c r="N572" s="142">
        <f t="shared" si="61"/>
        <v>1617.1355200000003</v>
      </c>
      <c r="O572" s="128">
        <f t="shared" si="62"/>
        <v>621.9752000000002</v>
      </c>
      <c r="P572" s="159">
        <f t="shared" si="63"/>
        <v>1617.1</v>
      </c>
      <c r="Q572" s="160">
        <f t="shared" si="64"/>
        <v>622</v>
      </c>
    </row>
    <row r="573" spans="1:17" ht="35.25" thickTop="1" thickBot="1">
      <c r="A573" s="15" t="s">
        <v>488</v>
      </c>
      <c r="B573" s="166">
        <v>2692.5</v>
      </c>
      <c r="C573" s="10" t="s">
        <v>348</v>
      </c>
      <c r="D573" s="31">
        <f>(B573/60)/400*400</f>
        <v>44.875</v>
      </c>
      <c r="E573" s="11">
        <v>0.65</v>
      </c>
      <c r="F573" s="27">
        <v>0.65</v>
      </c>
      <c r="G573" s="109">
        <f t="shared" ref="G573:G636" si="65">IF(AND(F573&gt;=0.15, F573&lt;=0.45), 0.1, IF(AND(F573&gt;=0.5, F573&lt;=0.9), F573-0.4, F573))</f>
        <v>0.25</v>
      </c>
      <c r="H573" s="109">
        <v>0.25</v>
      </c>
      <c r="I573" s="109">
        <v>0.65</v>
      </c>
      <c r="J573" s="113">
        <f t="shared" ref="J573:J636" si="66">H573</f>
        <v>0.25</v>
      </c>
      <c r="K573" s="67" t="s">
        <v>484</v>
      </c>
      <c r="L573" s="67" t="s">
        <v>485</v>
      </c>
      <c r="M573" s="137">
        <v>0.25</v>
      </c>
      <c r="N573" s="142">
        <f t="shared" si="61"/>
        <v>2156.1540000000005</v>
      </c>
      <c r="O573" s="128">
        <f t="shared" si="62"/>
        <v>829.29000000000019</v>
      </c>
      <c r="P573" s="159">
        <f t="shared" si="63"/>
        <v>2156.1999999999998</v>
      </c>
      <c r="Q573" s="160">
        <f t="shared" si="64"/>
        <v>829.3</v>
      </c>
    </row>
    <row r="574" spans="1:17" ht="35.25" thickTop="1" thickBot="1">
      <c r="A574" s="12" t="s">
        <v>489</v>
      </c>
      <c r="B574" s="166">
        <v>515.70000000000005</v>
      </c>
      <c r="C574" s="9" t="s">
        <v>348</v>
      </c>
      <c r="D574" s="10">
        <f>B574/60/25*400</f>
        <v>137.52000000000001</v>
      </c>
      <c r="E574" s="11">
        <v>0.55000000000000004</v>
      </c>
      <c r="F574" s="27">
        <v>0.55000000000000004</v>
      </c>
      <c r="G574" s="109">
        <f t="shared" si="65"/>
        <v>0.15000000000000002</v>
      </c>
      <c r="H574" s="109">
        <v>0.15000000000000002</v>
      </c>
      <c r="I574" s="109">
        <v>0.55000000000000004</v>
      </c>
      <c r="J574" s="113">
        <f t="shared" si="66"/>
        <v>0.15000000000000002</v>
      </c>
      <c r="K574" s="12" t="s">
        <v>481</v>
      </c>
      <c r="L574" s="12" t="s">
        <v>482</v>
      </c>
      <c r="M574" s="129">
        <v>0.15000000000000002</v>
      </c>
      <c r="N574" s="142">
        <f t="shared" si="61"/>
        <v>349.43832000000009</v>
      </c>
      <c r="O574" s="128">
        <f t="shared" si="62"/>
        <v>95.301360000000045</v>
      </c>
      <c r="P574" s="159">
        <f t="shared" si="63"/>
        <v>349.4</v>
      </c>
      <c r="Q574" s="160">
        <f t="shared" si="64"/>
        <v>95.3</v>
      </c>
    </row>
    <row r="575" spans="1:17" ht="35.25" thickTop="1" thickBot="1">
      <c r="A575" s="12" t="s">
        <v>489</v>
      </c>
      <c r="B575" s="166">
        <v>898.7</v>
      </c>
      <c r="C575" s="9" t="s">
        <v>348</v>
      </c>
      <c r="D575" s="10">
        <f>B575/60/100*400</f>
        <v>59.913333333333327</v>
      </c>
      <c r="E575" s="11">
        <v>0.55000000000000004</v>
      </c>
      <c r="F575" s="27">
        <v>0.55000000000000004</v>
      </c>
      <c r="G575" s="109">
        <f t="shared" si="65"/>
        <v>0.15000000000000002</v>
      </c>
      <c r="H575" s="109">
        <v>0.15000000000000002</v>
      </c>
      <c r="I575" s="109">
        <v>0.55000000000000004</v>
      </c>
      <c r="J575" s="113">
        <f t="shared" si="66"/>
        <v>0.15000000000000002</v>
      </c>
      <c r="K575" s="12" t="s">
        <v>481</v>
      </c>
      <c r="L575" s="12" t="s">
        <v>482</v>
      </c>
      <c r="M575" s="129">
        <v>0.15000000000000002</v>
      </c>
      <c r="N575" s="142">
        <f t="shared" si="61"/>
        <v>608.95912000000021</v>
      </c>
      <c r="O575" s="128">
        <f t="shared" si="62"/>
        <v>166.07976000000005</v>
      </c>
      <c r="P575" s="159">
        <f t="shared" si="63"/>
        <v>609</v>
      </c>
      <c r="Q575" s="160">
        <f t="shared" si="64"/>
        <v>166.1</v>
      </c>
    </row>
    <row r="576" spans="1:17" ht="35.25" thickTop="1" thickBot="1">
      <c r="A576" s="12" t="s">
        <v>489</v>
      </c>
      <c r="B576" s="166">
        <v>2004.8</v>
      </c>
      <c r="C576" s="9" t="s">
        <v>348</v>
      </c>
      <c r="D576" s="10">
        <f>B576/60/200*400</f>
        <v>66.826666666666668</v>
      </c>
      <c r="E576" s="11">
        <v>0.55000000000000004</v>
      </c>
      <c r="F576" s="27">
        <v>0.55000000000000004</v>
      </c>
      <c r="G576" s="109">
        <f t="shared" si="65"/>
        <v>0.15000000000000002</v>
      </c>
      <c r="H576" s="109">
        <v>0.15000000000000002</v>
      </c>
      <c r="I576" s="109">
        <v>0.55000000000000004</v>
      </c>
      <c r="J576" s="113">
        <f t="shared" si="66"/>
        <v>0.15000000000000002</v>
      </c>
      <c r="K576" s="12" t="s">
        <v>481</v>
      </c>
      <c r="L576" s="12" t="s">
        <v>482</v>
      </c>
      <c r="M576" s="129">
        <v>0.15000000000000002</v>
      </c>
      <c r="N576" s="142">
        <f t="shared" si="61"/>
        <v>1358.4524800000004</v>
      </c>
      <c r="O576" s="128">
        <f t="shared" si="62"/>
        <v>370.48704000000009</v>
      </c>
      <c r="P576" s="159">
        <f t="shared" si="63"/>
        <v>1358.5</v>
      </c>
      <c r="Q576" s="160">
        <f t="shared" si="64"/>
        <v>370.5</v>
      </c>
    </row>
    <row r="577" spans="1:17" ht="57.75" thickTop="1" thickBot="1">
      <c r="A577" s="12" t="s">
        <v>490</v>
      </c>
      <c r="B577" s="170">
        <v>1174</v>
      </c>
      <c r="C577" s="70" t="s">
        <v>63</v>
      </c>
      <c r="D577" s="88">
        <f>B577/100*5</f>
        <v>58.7</v>
      </c>
      <c r="E577" s="11">
        <v>0.25</v>
      </c>
      <c r="F577" s="27">
        <v>0.25</v>
      </c>
      <c r="G577" s="109">
        <f t="shared" si="65"/>
        <v>0.1</v>
      </c>
      <c r="H577" s="109">
        <v>0.1</v>
      </c>
      <c r="I577" s="109">
        <v>0.25</v>
      </c>
      <c r="J577" s="113">
        <f t="shared" si="66"/>
        <v>0.1</v>
      </c>
      <c r="K577" s="12" t="s">
        <v>491</v>
      </c>
      <c r="L577" s="12" t="s">
        <v>492</v>
      </c>
      <c r="M577" s="129">
        <v>0.1</v>
      </c>
      <c r="N577" s="142">
        <f t="shared" si="61"/>
        <v>361.59200000000004</v>
      </c>
      <c r="O577" s="128">
        <f t="shared" si="62"/>
        <v>144.63680000000005</v>
      </c>
      <c r="P577" s="159">
        <f t="shared" si="63"/>
        <v>361.6</v>
      </c>
      <c r="Q577" s="160">
        <f t="shared" si="64"/>
        <v>144.6</v>
      </c>
    </row>
    <row r="578" spans="1:17" ht="24" thickTop="1" thickBot="1">
      <c r="A578" s="39" t="s">
        <v>493</v>
      </c>
      <c r="B578" s="170">
        <v>4672.5</v>
      </c>
      <c r="C578" s="70" t="s">
        <v>494</v>
      </c>
      <c r="D578" s="88">
        <f>B578/28/1.5*3</f>
        <v>333.75</v>
      </c>
      <c r="E578" s="71">
        <v>0.3</v>
      </c>
      <c r="F578" s="106">
        <v>0.3</v>
      </c>
      <c r="G578" s="109">
        <f t="shared" si="65"/>
        <v>0.1</v>
      </c>
      <c r="H578" s="111">
        <v>0.1</v>
      </c>
      <c r="I578" s="111">
        <v>0.3</v>
      </c>
      <c r="J578" s="113">
        <f t="shared" si="66"/>
        <v>0.1</v>
      </c>
      <c r="K578" s="72" t="s">
        <v>495</v>
      </c>
      <c r="L578" s="72" t="s">
        <v>485</v>
      </c>
      <c r="M578" s="138">
        <v>0.1</v>
      </c>
      <c r="N578" s="142">
        <f t="shared" si="61"/>
        <v>1726.9560000000001</v>
      </c>
      <c r="O578" s="128">
        <f t="shared" si="62"/>
        <v>575.65200000000016</v>
      </c>
      <c r="P578" s="159">
        <f t="shared" si="63"/>
        <v>1727</v>
      </c>
      <c r="Q578" s="160">
        <f t="shared" si="64"/>
        <v>575.70000000000005</v>
      </c>
    </row>
    <row r="579" spans="1:17" ht="24" thickTop="1" thickBot="1">
      <c r="A579" s="39" t="s">
        <v>493</v>
      </c>
      <c r="B579" s="170">
        <v>4672.5</v>
      </c>
      <c r="C579" s="70" t="s">
        <v>494</v>
      </c>
      <c r="D579" s="88">
        <f>B579/28/3*3</f>
        <v>166.875</v>
      </c>
      <c r="E579" s="71">
        <v>0.3</v>
      </c>
      <c r="F579" s="106">
        <v>0.3</v>
      </c>
      <c r="G579" s="109">
        <f t="shared" si="65"/>
        <v>0.1</v>
      </c>
      <c r="H579" s="111">
        <v>0.1</v>
      </c>
      <c r="I579" s="111">
        <v>0.3</v>
      </c>
      <c r="J579" s="113">
        <f t="shared" si="66"/>
        <v>0.1</v>
      </c>
      <c r="K579" s="72" t="s">
        <v>495</v>
      </c>
      <c r="L579" s="72" t="s">
        <v>485</v>
      </c>
      <c r="M579" s="138">
        <v>0.1</v>
      </c>
      <c r="N579" s="142">
        <f t="shared" ref="N579:N642" si="67">B579*I579*1.12*1.1</f>
        <v>1726.9560000000001</v>
      </c>
      <c r="O579" s="128">
        <f t="shared" ref="O579:O642" si="68">B579*M579*1.12*1.1</f>
        <v>575.65200000000016</v>
      </c>
      <c r="P579" s="159">
        <f t="shared" ref="P579:P642" si="69">ROUND(N579, 1)</f>
        <v>1727</v>
      </c>
      <c r="Q579" s="160">
        <f t="shared" ref="Q579:Q642" si="70">ROUND(O579, 1)</f>
        <v>575.70000000000005</v>
      </c>
    </row>
    <row r="580" spans="1:17" ht="24" thickTop="1" thickBot="1">
      <c r="A580" s="39" t="s">
        <v>493</v>
      </c>
      <c r="B580" s="170">
        <v>4672.5</v>
      </c>
      <c r="C580" s="70" t="s">
        <v>494</v>
      </c>
      <c r="D580" s="88">
        <f>B580/28/4.5*3</f>
        <v>111.25</v>
      </c>
      <c r="E580" s="71">
        <v>0.3</v>
      </c>
      <c r="F580" s="106">
        <v>0.3</v>
      </c>
      <c r="G580" s="109">
        <f t="shared" si="65"/>
        <v>0.1</v>
      </c>
      <c r="H580" s="111">
        <v>0.1</v>
      </c>
      <c r="I580" s="111">
        <v>0.3</v>
      </c>
      <c r="J580" s="113">
        <f t="shared" si="66"/>
        <v>0.1</v>
      </c>
      <c r="K580" s="72" t="s">
        <v>495</v>
      </c>
      <c r="L580" s="72" t="s">
        <v>485</v>
      </c>
      <c r="M580" s="138">
        <v>0.1</v>
      </c>
      <c r="N580" s="142">
        <f t="shared" si="67"/>
        <v>1726.9560000000001</v>
      </c>
      <c r="O580" s="128">
        <f t="shared" si="68"/>
        <v>575.65200000000016</v>
      </c>
      <c r="P580" s="159">
        <f t="shared" si="69"/>
        <v>1727</v>
      </c>
      <c r="Q580" s="160">
        <f t="shared" si="70"/>
        <v>575.70000000000005</v>
      </c>
    </row>
    <row r="581" spans="1:17" ht="24" thickTop="1" thickBot="1">
      <c r="A581" s="39" t="s">
        <v>493</v>
      </c>
      <c r="B581" s="170">
        <v>4672.5</v>
      </c>
      <c r="C581" s="70" t="s">
        <v>494</v>
      </c>
      <c r="D581" s="88">
        <f>B581/28/6*3</f>
        <v>83.4375</v>
      </c>
      <c r="E581" s="71">
        <v>0.3</v>
      </c>
      <c r="F581" s="106">
        <v>0.3</v>
      </c>
      <c r="G581" s="109">
        <f t="shared" si="65"/>
        <v>0.1</v>
      </c>
      <c r="H581" s="111">
        <v>0.1</v>
      </c>
      <c r="I581" s="111">
        <v>0.3</v>
      </c>
      <c r="J581" s="113">
        <f t="shared" si="66"/>
        <v>0.1</v>
      </c>
      <c r="K581" s="72" t="s">
        <v>495</v>
      </c>
      <c r="L581" s="72" t="s">
        <v>485</v>
      </c>
      <c r="M581" s="138">
        <v>0.1</v>
      </c>
      <c r="N581" s="142">
        <f t="shared" si="67"/>
        <v>1726.9560000000001</v>
      </c>
      <c r="O581" s="128">
        <f t="shared" si="68"/>
        <v>575.65200000000016</v>
      </c>
      <c r="P581" s="159">
        <f t="shared" si="69"/>
        <v>1727</v>
      </c>
      <c r="Q581" s="160">
        <f t="shared" si="70"/>
        <v>575.70000000000005</v>
      </c>
    </row>
    <row r="582" spans="1:17" ht="46.5" thickTop="1" thickBot="1">
      <c r="A582" s="12" t="s">
        <v>496</v>
      </c>
      <c r="B582" s="166">
        <v>135</v>
      </c>
      <c r="C582" s="9" t="s">
        <v>85</v>
      </c>
      <c r="D582" s="10">
        <f>B582/30/1*2.5</f>
        <v>11.25</v>
      </c>
      <c r="E582" s="1">
        <v>0.9</v>
      </c>
      <c r="F582" s="95">
        <v>0.9</v>
      </c>
      <c r="G582" s="109">
        <f t="shared" si="65"/>
        <v>0.5</v>
      </c>
      <c r="H582" s="109">
        <v>0.5</v>
      </c>
      <c r="I582" s="109">
        <v>0.9</v>
      </c>
      <c r="J582" s="113">
        <f t="shared" si="66"/>
        <v>0.5</v>
      </c>
      <c r="K582" s="12"/>
      <c r="L582" s="12" t="s">
        <v>497</v>
      </c>
      <c r="M582" s="129">
        <v>0.5</v>
      </c>
      <c r="N582" s="142">
        <f t="shared" si="67"/>
        <v>149.68800000000002</v>
      </c>
      <c r="O582" s="128">
        <f t="shared" si="68"/>
        <v>83.160000000000011</v>
      </c>
      <c r="P582" s="159">
        <f t="shared" si="69"/>
        <v>149.69999999999999</v>
      </c>
      <c r="Q582" s="160">
        <f t="shared" si="70"/>
        <v>83.2</v>
      </c>
    </row>
    <row r="583" spans="1:17" ht="46.5" thickTop="1" thickBot="1">
      <c r="A583" s="12" t="s">
        <v>496</v>
      </c>
      <c r="B583" s="166">
        <v>160.69999999999999</v>
      </c>
      <c r="C583" s="9" t="s">
        <v>85</v>
      </c>
      <c r="D583" s="10">
        <f>B583/20/2.5*2.5</f>
        <v>8.0350000000000001</v>
      </c>
      <c r="E583" s="1">
        <v>0.9</v>
      </c>
      <c r="F583" s="95">
        <v>0.9</v>
      </c>
      <c r="G583" s="109">
        <f t="shared" si="65"/>
        <v>0.5</v>
      </c>
      <c r="H583" s="109">
        <v>0.5</v>
      </c>
      <c r="I583" s="109">
        <v>0.9</v>
      </c>
      <c r="J583" s="113">
        <f t="shared" si="66"/>
        <v>0.5</v>
      </c>
      <c r="K583" s="12"/>
      <c r="L583" s="12" t="s">
        <v>497</v>
      </c>
      <c r="M583" s="129">
        <v>0.5</v>
      </c>
      <c r="N583" s="142">
        <f t="shared" si="67"/>
        <v>178.18416000000002</v>
      </c>
      <c r="O583" s="128">
        <f t="shared" si="68"/>
        <v>98.991200000000006</v>
      </c>
      <c r="P583" s="159">
        <f t="shared" si="69"/>
        <v>178.2</v>
      </c>
      <c r="Q583" s="160">
        <f t="shared" si="70"/>
        <v>99</v>
      </c>
    </row>
    <row r="584" spans="1:17" ht="46.5" thickTop="1" thickBot="1">
      <c r="A584" s="15" t="s">
        <v>498</v>
      </c>
      <c r="B584" s="167">
        <v>135</v>
      </c>
      <c r="C584" s="9" t="s">
        <v>85</v>
      </c>
      <c r="D584" s="10">
        <f>B584/30/1*2.5</f>
        <v>11.25</v>
      </c>
      <c r="E584" s="3">
        <v>0.9</v>
      </c>
      <c r="F584" s="98">
        <v>0.9</v>
      </c>
      <c r="G584" s="109">
        <f t="shared" si="65"/>
        <v>0.5</v>
      </c>
      <c r="H584" s="109">
        <v>0.5</v>
      </c>
      <c r="I584" s="109">
        <v>0.9</v>
      </c>
      <c r="J584" s="113">
        <f t="shared" si="66"/>
        <v>0.5</v>
      </c>
      <c r="K584" s="12"/>
      <c r="L584" s="12" t="s">
        <v>497</v>
      </c>
      <c r="M584" s="129">
        <v>0.5</v>
      </c>
      <c r="N584" s="142">
        <f t="shared" si="67"/>
        <v>149.68800000000002</v>
      </c>
      <c r="O584" s="128">
        <f t="shared" si="68"/>
        <v>83.160000000000011</v>
      </c>
      <c r="P584" s="159">
        <f t="shared" si="69"/>
        <v>149.69999999999999</v>
      </c>
      <c r="Q584" s="160">
        <f t="shared" si="70"/>
        <v>83.2</v>
      </c>
    </row>
    <row r="585" spans="1:17" ht="46.5" thickTop="1" thickBot="1">
      <c r="A585" s="15" t="s">
        <v>498</v>
      </c>
      <c r="B585" s="167">
        <v>160.69999999999999</v>
      </c>
      <c r="C585" s="9" t="s">
        <v>85</v>
      </c>
      <c r="D585" s="10">
        <f>B585/20/2.5*2.5</f>
        <v>8.0350000000000001</v>
      </c>
      <c r="E585" s="3">
        <v>0.9</v>
      </c>
      <c r="F585" s="98">
        <v>0.9</v>
      </c>
      <c r="G585" s="109">
        <f t="shared" si="65"/>
        <v>0.5</v>
      </c>
      <c r="H585" s="109">
        <v>0.5</v>
      </c>
      <c r="I585" s="109">
        <v>0.9</v>
      </c>
      <c r="J585" s="113">
        <f t="shared" si="66"/>
        <v>0.5</v>
      </c>
      <c r="K585" s="12"/>
      <c r="L585" s="12" t="s">
        <v>497</v>
      </c>
      <c r="M585" s="129">
        <v>0.5</v>
      </c>
      <c r="N585" s="142">
        <f t="shared" si="67"/>
        <v>178.18416000000002</v>
      </c>
      <c r="O585" s="128">
        <f t="shared" si="68"/>
        <v>98.991200000000006</v>
      </c>
      <c r="P585" s="159">
        <f t="shared" si="69"/>
        <v>178.2</v>
      </c>
      <c r="Q585" s="160">
        <f t="shared" si="70"/>
        <v>99</v>
      </c>
    </row>
    <row r="586" spans="1:17" ht="46.5" thickTop="1" thickBot="1">
      <c r="A586" s="12" t="s">
        <v>499</v>
      </c>
      <c r="B586" s="166">
        <v>84.7</v>
      </c>
      <c r="C586" s="9" t="s">
        <v>92</v>
      </c>
      <c r="D586" s="10">
        <f>B586/30/1.5*10</f>
        <v>18.822222222222223</v>
      </c>
      <c r="E586" s="1">
        <v>0.9</v>
      </c>
      <c r="F586" s="95">
        <v>0.9</v>
      </c>
      <c r="G586" s="109">
        <f t="shared" si="65"/>
        <v>0.5</v>
      </c>
      <c r="H586" s="109">
        <v>0.5</v>
      </c>
      <c r="I586" s="109">
        <v>0.9</v>
      </c>
      <c r="J586" s="113">
        <f t="shared" si="66"/>
        <v>0.5</v>
      </c>
      <c r="K586" s="12"/>
      <c r="L586" s="12" t="s">
        <v>497</v>
      </c>
      <c r="M586" s="129">
        <v>0.5</v>
      </c>
      <c r="N586" s="142">
        <f t="shared" si="67"/>
        <v>93.915360000000021</v>
      </c>
      <c r="O586" s="128">
        <f t="shared" si="68"/>
        <v>52.175200000000011</v>
      </c>
      <c r="P586" s="159">
        <f t="shared" si="69"/>
        <v>93.9</v>
      </c>
      <c r="Q586" s="160">
        <f t="shared" si="70"/>
        <v>52.2</v>
      </c>
    </row>
    <row r="587" spans="1:17" ht="46.5" thickTop="1" thickBot="1">
      <c r="A587" s="12" t="s">
        <v>499</v>
      </c>
      <c r="B587" s="166">
        <v>113.4</v>
      </c>
      <c r="C587" s="9" t="s">
        <v>92</v>
      </c>
      <c r="D587" s="10">
        <f>B587/30/3*10</f>
        <v>12.6</v>
      </c>
      <c r="E587" s="1">
        <v>0.9</v>
      </c>
      <c r="F587" s="95">
        <v>0.9</v>
      </c>
      <c r="G587" s="109">
        <f t="shared" si="65"/>
        <v>0.5</v>
      </c>
      <c r="H587" s="109">
        <v>0.5</v>
      </c>
      <c r="I587" s="109">
        <v>0.9</v>
      </c>
      <c r="J587" s="113">
        <f t="shared" si="66"/>
        <v>0.5</v>
      </c>
      <c r="K587" s="12"/>
      <c r="L587" s="12" t="s">
        <v>497</v>
      </c>
      <c r="M587" s="129">
        <v>0.5</v>
      </c>
      <c r="N587" s="142">
        <f t="shared" si="67"/>
        <v>125.73792000000002</v>
      </c>
      <c r="O587" s="128">
        <f t="shared" si="68"/>
        <v>69.854400000000012</v>
      </c>
      <c r="P587" s="159">
        <f t="shared" si="69"/>
        <v>125.7</v>
      </c>
      <c r="Q587" s="160">
        <f t="shared" si="70"/>
        <v>69.900000000000006</v>
      </c>
    </row>
    <row r="588" spans="1:17" ht="46.5" thickTop="1" thickBot="1">
      <c r="A588" s="12" t="s">
        <v>499</v>
      </c>
      <c r="B588" s="166">
        <v>103.8</v>
      </c>
      <c r="C588" s="9" t="s">
        <v>92</v>
      </c>
      <c r="D588" s="10">
        <f>B588/20/6*10</f>
        <v>8.6499999999999986</v>
      </c>
      <c r="E588" s="1">
        <v>0.9</v>
      </c>
      <c r="F588" s="95">
        <v>0.9</v>
      </c>
      <c r="G588" s="109">
        <f t="shared" si="65"/>
        <v>0.5</v>
      </c>
      <c r="H588" s="109">
        <v>0.5</v>
      </c>
      <c r="I588" s="109">
        <v>0.9</v>
      </c>
      <c r="J588" s="113">
        <f t="shared" si="66"/>
        <v>0.5</v>
      </c>
      <c r="K588" s="12"/>
      <c r="L588" s="12" t="s">
        <v>497</v>
      </c>
      <c r="M588" s="129">
        <v>0.5</v>
      </c>
      <c r="N588" s="142">
        <f t="shared" si="67"/>
        <v>115.09344000000002</v>
      </c>
      <c r="O588" s="128">
        <f t="shared" si="68"/>
        <v>63.94080000000001</v>
      </c>
      <c r="P588" s="159">
        <f t="shared" si="69"/>
        <v>115.1</v>
      </c>
      <c r="Q588" s="160">
        <f t="shared" si="70"/>
        <v>63.9</v>
      </c>
    </row>
    <row r="589" spans="1:17" ht="46.5" thickTop="1" thickBot="1">
      <c r="A589" s="12" t="s">
        <v>500</v>
      </c>
      <c r="B589" s="166">
        <v>84.7</v>
      </c>
      <c r="C589" s="9" t="s">
        <v>92</v>
      </c>
      <c r="D589" s="10">
        <f>B589/30/1.5*10</f>
        <v>18.822222222222223</v>
      </c>
      <c r="E589" s="1">
        <v>0.9</v>
      </c>
      <c r="F589" s="95">
        <v>0.9</v>
      </c>
      <c r="G589" s="109">
        <f t="shared" si="65"/>
        <v>0.5</v>
      </c>
      <c r="H589" s="109">
        <v>0.5</v>
      </c>
      <c r="I589" s="109">
        <v>0.9</v>
      </c>
      <c r="J589" s="113">
        <f t="shared" si="66"/>
        <v>0.5</v>
      </c>
      <c r="K589" s="12"/>
      <c r="L589" s="12" t="s">
        <v>497</v>
      </c>
      <c r="M589" s="129">
        <v>0.5</v>
      </c>
      <c r="N589" s="142">
        <f t="shared" si="67"/>
        <v>93.915360000000021</v>
      </c>
      <c r="O589" s="128">
        <f t="shared" si="68"/>
        <v>52.175200000000011</v>
      </c>
      <c r="P589" s="159">
        <f t="shared" si="69"/>
        <v>93.9</v>
      </c>
      <c r="Q589" s="160">
        <f t="shared" si="70"/>
        <v>52.2</v>
      </c>
    </row>
    <row r="590" spans="1:17" ht="46.5" thickTop="1" thickBot="1">
      <c r="A590" s="12" t="s">
        <v>500</v>
      </c>
      <c r="B590" s="166">
        <v>113.4</v>
      </c>
      <c r="C590" s="9" t="s">
        <v>92</v>
      </c>
      <c r="D590" s="10">
        <f>B590/30/3*10</f>
        <v>12.6</v>
      </c>
      <c r="E590" s="1">
        <v>0.9</v>
      </c>
      <c r="F590" s="95">
        <v>0.9</v>
      </c>
      <c r="G590" s="109">
        <f t="shared" si="65"/>
        <v>0.5</v>
      </c>
      <c r="H590" s="109">
        <v>0.5</v>
      </c>
      <c r="I590" s="109">
        <v>0.9</v>
      </c>
      <c r="J590" s="113">
        <f t="shared" si="66"/>
        <v>0.5</v>
      </c>
      <c r="K590" s="12"/>
      <c r="L590" s="12" t="s">
        <v>497</v>
      </c>
      <c r="M590" s="129">
        <v>0.5</v>
      </c>
      <c r="N590" s="142">
        <f t="shared" si="67"/>
        <v>125.73792000000002</v>
      </c>
      <c r="O590" s="128">
        <f t="shared" si="68"/>
        <v>69.854400000000012</v>
      </c>
      <c r="P590" s="159">
        <f t="shared" si="69"/>
        <v>125.7</v>
      </c>
      <c r="Q590" s="160">
        <f t="shared" si="70"/>
        <v>69.900000000000006</v>
      </c>
    </row>
    <row r="591" spans="1:17" ht="46.5" thickTop="1" thickBot="1">
      <c r="A591" s="12" t="s">
        <v>501</v>
      </c>
      <c r="B591" s="166">
        <v>70.400000000000006</v>
      </c>
      <c r="C591" s="9" t="s">
        <v>92</v>
      </c>
      <c r="D591" s="10">
        <f>B591/30/1.5*10</f>
        <v>15.644444444444446</v>
      </c>
      <c r="E591" s="1">
        <v>0.9</v>
      </c>
      <c r="F591" s="95">
        <v>0.9</v>
      </c>
      <c r="G591" s="109">
        <f t="shared" si="65"/>
        <v>0.5</v>
      </c>
      <c r="H591" s="109">
        <v>0.5</v>
      </c>
      <c r="I591" s="109">
        <v>0.9</v>
      </c>
      <c r="J591" s="113">
        <f t="shared" si="66"/>
        <v>0.5</v>
      </c>
      <c r="K591" s="56"/>
      <c r="L591" s="12" t="s">
        <v>497</v>
      </c>
      <c r="M591" s="129">
        <v>0.5</v>
      </c>
      <c r="N591" s="142">
        <f t="shared" si="67"/>
        <v>78.05952000000002</v>
      </c>
      <c r="O591" s="128">
        <f t="shared" si="68"/>
        <v>43.366400000000013</v>
      </c>
      <c r="P591" s="159">
        <f t="shared" si="69"/>
        <v>78.099999999999994</v>
      </c>
      <c r="Q591" s="160">
        <f t="shared" si="70"/>
        <v>43.4</v>
      </c>
    </row>
    <row r="592" spans="1:17" ht="46.5" thickTop="1" thickBot="1">
      <c r="A592" s="12" t="s">
        <v>501</v>
      </c>
      <c r="B592" s="166">
        <v>94.2</v>
      </c>
      <c r="C592" s="9" t="s">
        <v>92</v>
      </c>
      <c r="D592" s="10">
        <f>B592/30/3*10</f>
        <v>10.466666666666667</v>
      </c>
      <c r="E592" s="1">
        <v>0.9</v>
      </c>
      <c r="F592" s="95">
        <v>0.9</v>
      </c>
      <c r="G592" s="109">
        <f t="shared" si="65"/>
        <v>0.5</v>
      </c>
      <c r="H592" s="109">
        <v>0.5</v>
      </c>
      <c r="I592" s="109">
        <v>0.9</v>
      </c>
      <c r="J592" s="113">
        <f t="shared" si="66"/>
        <v>0.5</v>
      </c>
      <c r="K592" s="56"/>
      <c r="L592" s="12" t="s">
        <v>497</v>
      </c>
      <c r="M592" s="129">
        <v>0.5</v>
      </c>
      <c r="N592" s="142">
        <f t="shared" si="67"/>
        <v>104.44896000000001</v>
      </c>
      <c r="O592" s="128">
        <f t="shared" si="68"/>
        <v>58.027200000000015</v>
      </c>
      <c r="P592" s="159">
        <f t="shared" si="69"/>
        <v>104.4</v>
      </c>
      <c r="Q592" s="160">
        <f t="shared" si="70"/>
        <v>58</v>
      </c>
    </row>
    <row r="593" spans="1:17" ht="46.5" thickTop="1" thickBot="1">
      <c r="A593" s="12" t="s">
        <v>501</v>
      </c>
      <c r="B593" s="166">
        <v>129.30000000000001</v>
      </c>
      <c r="C593" s="9" t="s">
        <v>92</v>
      </c>
      <c r="D593" s="10">
        <f>B593/30/6*10</f>
        <v>7.1833333333333336</v>
      </c>
      <c r="E593" s="1">
        <v>0.9</v>
      </c>
      <c r="F593" s="95">
        <v>0.9</v>
      </c>
      <c r="G593" s="109">
        <f t="shared" si="65"/>
        <v>0.5</v>
      </c>
      <c r="H593" s="109">
        <v>0.5</v>
      </c>
      <c r="I593" s="109">
        <v>0.9</v>
      </c>
      <c r="J593" s="113">
        <f t="shared" si="66"/>
        <v>0.5</v>
      </c>
      <c r="K593" s="56"/>
      <c r="L593" s="12" t="s">
        <v>497</v>
      </c>
      <c r="M593" s="129">
        <v>0.5</v>
      </c>
      <c r="N593" s="142">
        <f t="shared" si="67"/>
        <v>143.36784000000006</v>
      </c>
      <c r="O593" s="128">
        <f t="shared" si="68"/>
        <v>79.648800000000023</v>
      </c>
      <c r="P593" s="159">
        <f t="shared" si="69"/>
        <v>143.4</v>
      </c>
      <c r="Q593" s="160">
        <f t="shared" si="70"/>
        <v>79.599999999999994</v>
      </c>
    </row>
    <row r="594" spans="1:17" ht="46.5" thickTop="1" thickBot="1">
      <c r="A594" s="12" t="s">
        <v>726</v>
      </c>
      <c r="B594" s="166">
        <v>70.400000000000006</v>
      </c>
      <c r="C594" s="9" t="s">
        <v>92</v>
      </c>
      <c r="D594" s="10">
        <f>(B594/30)/1.5*10</f>
        <v>15.644444444444446</v>
      </c>
      <c r="E594" s="1">
        <v>0.9</v>
      </c>
      <c r="F594" s="95">
        <v>0.9</v>
      </c>
      <c r="G594" s="109">
        <f t="shared" si="65"/>
        <v>0.5</v>
      </c>
      <c r="H594" s="109">
        <v>0.5</v>
      </c>
      <c r="I594" s="109">
        <v>0.9</v>
      </c>
      <c r="J594" s="113">
        <f t="shared" si="66"/>
        <v>0.5</v>
      </c>
      <c r="K594" s="56"/>
      <c r="L594" s="12" t="s">
        <v>497</v>
      </c>
      <c r="M594" s="129">
        <v>0.5</v>
      </c>
      <c r="N594" s="142">
        <f t="shared" si="67"/>
        <v>78.05952000000002</v>
      </c>
      <c r="O594" s="128">
        <f t="shared" si="68"/>
        <v>43.366400000000013</v>
      </c>
      <c r="P594" s="159">
        <f t="shared" si="69"/>
        <v>78.099999999999994</v>
      </c>
      <c r="Q594" s="160">
        <f t="shared" si="70"/>
        <v>43.4</v>
      </c>
    </row>
    <row r="595" spans="1:17" ht="46.5" thickTop="1" thickBot="1">
      <c r="A595" s="12" t="s">
        <v>726</v>
      </c>
      <c r="B595" s="166">
        <v>94.2</v>
      </c>
      <c r="C595" s="9" t="s">
        <v>92</v>
      </c>
      <c r="D595" s="10">
        <f>(B595/30)/3*10</f>
        <v>10.466666666666667</v>
      </c>
      <c r="E595" s="1">
        <v>0.9</v>
      </c>
      <c r="F595" s="95">
        <v>0.9</v>
      </c>
      <c r="G595" s="109">
        <f t="shared" si="65"/>
        <v>0.5</v>
      </c>
      <c r="H595" s="109">
        <v>0.5</v>
      </c>
      <c r="I595" s="109">
        <v>0.9</v>
      </c>
      <c r="J595" s="113">
        <f t="shared" si="66"/>
        <v>0.5</v>
      </c>
      <c r="K595" s="56"/>
      <c r="L595" s="12" t="s">
        <v>497</v>
      </c>
      <c r="M595" s="129">
        <v>0.5</v>
      </c>
      <c r="N595" s="142">
        <f t="shared" si="67"/>
        <v>104.44896000000001</v>
      </c>
      <c r="O595" s="128">
        <f t="shared" si="68"/>
        <v>58.027200000000015</v>
      </c>
      <c r="P595" s="159">
        <f t="shared" si="69"/>
        <v>104.4</v>
      </c>
      <c r="Q595" s="160">
        <f t="shared" si="70"/>
        <v>58</v>
      </c>
    </row>
    <row r="596" spans="1:17" ht="46.5" thickTop="1" thickBot="1">
      <c r="A596" s="12" t="s">
        <v>502</v>
      </c>
      <c r="B596" s="167">
        <v>204.8</v>
      </c>
      <c r="C596" s="9" t="s">
        <v>503</v>
      </c>
      <c r="D596" s="10">
        <f>B596/30/1*1</f>
        <v>6.8266666666666671</v>
      </c>
      <c r="E596" s="1">
        <v>0.9</v>
      </c>
      <c r="F596" s="95">
        <v>0.9</v>
      </c>
      <c r="G596" s="109">
        <f t="shared" si="65"/>
        <v>0.5</v>
      </c>
      <c r="H596" s="109">
        <v>0.5</v>
      </c>
      <c r="I596" s="109">
        <v>0.9</v>
      </c>
      <c r="J596" s="113">
        <f t="shared" si="66"/>
        <v>0.5</v>
      </c>
      <c r="K596" s="12"/>
      <c r="L596" s="12" t="s">
        <v>497</v>
      </c>
      <c r="M596" s="129">
        <v>0.5</v>
      </c>
      <c r="N596" s="142">
        <f t="shared" si="67"/>
        <v>227.08224000000004</v>
      </c>
      <c r="O596" s="128">
        <f t="shared" si="68"/>
        <v>126.15680000000003</v>
      </c>
      <c r="P596" s="159">
        <f t="shared" si="69"/>
        <v>227.1</v>
      </c>
      <c r="Q596" s="160">
        <f t="shared" si="70"/>
        <v>126.2</v>
      </c>
    </row>
    <row r="597" spans="1:17" ht="46.5" thickTop="1" thickBot="1">
      <c r="A597" s="12" t="s">
        <v>504</v>
      </c>
      <c r="B597" s="166">
        <v>49.6</v>
      </c>
      <c r="C597" s="10" t="s">
        <v>101</v>
      </c>
      <c r="D597" s="10">
        <f>B597/30/0.25*1</f>
        <v>6.6133333333333333</v>
      </c>
      <c r="E597" s="1">
        <v>0.9</v>
      </c>
      <c r="F597" s="95">
        <v>0.9</v>
      </c>
      <c r="G597" s="109">
        <f t="shared" si="65"/>
        <v>0.5</v>
      </c>
      <c r="H597" s="109">
        <v>0.5</v>
      </c>
      <c r="I597" s="109">
        <v>0.9</v>
      </c>
      <c r="J597" s="113">
        <f t="shared" si="66"/>
        <v>0.5</v>
      </c>
      <c r="K597" s="12"/>
      <c r="L597" s="12" t="s">
        <v>497</v>
      </c>
      <c r="M597" s="129">
        <v>0.5</v>
      </c>
      <c r="N597" s="142">
        <f t="shared" si="67"/>
        <v>54.996480000000012</v>
      </c>
      <c r="O597" s="128">
        <f t="shared" si="68"/>
        <v>30.553600000000007</v>
      </c>
      <c r="P597" s="159">
        <f t="shared" si="69"/>
        <v>55</v>
      </c>
      <c r="Q597" s="160">
        <f t="shared" si="70"/>
        <v>30.6</v>
      </c>
    </row>
    <row r="598" spans="1:17" ht="46.5" thickTop="1" thickBot="1">
      <c r="A598" s="12" t="s">
        <v>504</v>
      </c>
      <c r="B598" s="166">
        <v>81.099999999999994</v>
      </c>
      <c r="C598" s="10" t="s">
        <v>101</v>
      </c>
      <c r="D598" s="10">
        <f>B598/30/0.5*1</f>
        <v>5.4066666666666663</v>
      </c>
      <c r="E598" s="1">
        <v>0.9</v>
      </c>
      <c r="F598" s="95">
        <v>0.9</v>
      </c>
      <c r="G598" s="109">
        <f t="shared" si="65"/>
        <v>0.5</v>
      </c>
      <c r="H598" s="109">
        <v>0.5</v>
      </c>
      <c r="I598" s="109">
        <v>0.9</v>
      </c>
      <c r="J598" s="113">
        <f t="shared" si="66"/>
        <v>0.5</v>
      </c>
      <c r="K598" s="12"/>
      <c r="L598" s="12" t="s">
        <v>497</v>
      </c>
      <c r="M598" s="129">
        <v>0.5</v>
      </c>
      <c r="N598" s="142">
        <f t="shared" si="67"/>
        <v>89.923680000000004</v>
      </c>
      <c r="O598" s="128">
        <f t="shared" si="68"/>
        <v>49.957600000000006</v>
      </c>
      <c r="P598" s="159">
        <f t="shared" si="69"/>
        <v>89.9</v>
      </c>
      <c r="Q598" s="160">
        <f t="shared" si="70"/>
        <v>50</v>
      </c>
    </row>
    <row r="599" spans="1:17" ht="46.5" thickTop="1" thickBot="1">
      <c r="A599" s="12" t="s">
        <v>504</v>
      </c>
      <c r="B599" s="166">
        <v>164.6</v>
      </c>
      <c r="C599" s="10" t="s">
        <v>101</v>
      </c>
      <c r="D599" s="10">
        <f>B599/30/1*1</f>
        <v>5.4866666666666664</v>
      </c>
      <c r="E599" s="1">
        <v>0.9</v>
      </c>
      <c r="F599" s="95">
        <v>0.9</v>
      </c>
      <c r="G599" s="109">
        <f t="shared" si="65"/>
        <v>0.5</v>
      </c>
      <c r="H599" s="109">
        <v>0.5</v>
      </c>
      <c r="I599" s="109">
        <v>0.9</v>
      </c>
      <c r="J599" s="113">
        <f t="shared" si="66"/>
        <v>0.5</v>
      </c>
      <c r="K599" s="12"/>
      <c r="L599" s="12" t="s">
        <v>497</v>
      </c>
      <c r="M599" s="129">
        <v>0.5</v>
      </c>
      <c r="N599" s="142">
        <f t="shared" si="67"/>
        <v>182.50848000000002</v>
      </c>
      <c r="O599" s="128">
        <f t="shared" si="68"/>
        <v>101.39360000000001</v>
      </c>
      <c r="P599" s="159">
        <f t="shared" si="69"/>
        <v>182.5</v>
      </c>
      <c r="Q599" s="160">
        <f t="shared" si="70"/>
        <v>101.4</v>
      </c>
    </row>
    <row r="600" spans="1:17" ht="46.5" thickTop="1" thickBot="1">
      <c r="A600" s="13" t="s">
        <v>505</v>
      </c>
      <c r="B600" s="167">
        <v>200.2</v>
      </c>
      <c r="C600" s="10" t="s">
        <v>101</v>
      </c>
      <c r="D600" s="10">
        <f>B600/30/1*1</f>
        <v>6.6733333333333329</v>
      </c>
      <c r="E600" s="2">
        <v>0.9</v>
      </c>
      <c r="F600" s="96">
        <v>0.9</v>
      </c>
      <c r="G600" s="109">
        <f t="shared" si="65"/>
        <v>0.5</v>
      </c>
      <c r="H600" s="109">
        <v>0.5</v>
      </c>
      <c r="I600" s="109">
        <v>0.9</v>
      </c>
      <c r="J600" s="113">
        <f t="shared" si="66"/>
        <v>0.5</v>
      </c>
      <c r="K600" s="12"/>
      <c r="L600" s="12" t="s">
        <v>497</v>
      </c>
      <c r="M600" s="129">
        <v>0.5</v>
      </c>
      <c r="N600" s="142">
        <f t="shared" si="67"/>
        <v>221.98176000000007</v>
      </c>
      <c r="O600" s="128">
        <f t="shared" si="68"/>
        <v>123.32320000000001</v>
      </c>
      <c r="P600" s="159">
        <f t="shared" si="69"/>
        <v>222</v>
      </c>
      <c r="Q600" s="160">
        <f t="shared" si="70"/>
        <v>123.3</v>
      </c>
    </row>
    <row r="601" spans="1:17" ht="46.5" thickTop="1" thickBot="1">
      <c r="A601" s="12" t="s">
        <v>506</v>
      </c>
      <c r="B601" s="166">
        <v>63.4</v>
      </c>
      <c r="C601" s="9" t="s">
        <v>63</v>
      </c>
      <c r="D601" s="10">
        <f>B601/10/5*5</f>
        <v>6.34</v>
      </c>
      <c r="E601" s="1">
        <v>0.9</v>
      </c>
      <c r="F601" s="95">
        <v>0.9</v>
      </c>
      <c r="G601" s="109">
        <f t="shared" si="65"/>
        <v>0.5</v>
      </c>
      <c r="H601" s="109">
        <v>0.5</v>
      </c>
      <c r="I601" s="109">
        <v>0.9</v>
      </c>
      <c r="J601" s="113">
        <f t="shared" si="66"/>
        <v>0.5</v>
      </c>
      <c r="K601" s="12"/>
      <c r="L601" s="12" t="s">
        <v>497</v>
      </c>
      <c r="M601" s="129">
        <v>0.5</v>
      </c>
      <c r="N601" s="142">
        <f t="shared" si="67"/>
        <v>70.297920000000019</v>
      </c>
      <c r="O601" s="128">
        <f t="shared" si="68"/>
        <v>39.054400000000008</v>
      </c>
      <c r="P601" s="159">
        <f t="shared" si="69"/>
        <v>70.3</v>
      </c>
      <c r="Q601" s="160">
        <f t="shared" si="70"/>
        <v>39.1</v>
      </c>
    </row>
    <row r="602" spans="1:17" ht="24" thickTop="1" thickBot="1">
      <c r="A602" s="12" t="s">
        <v>507</v>
      </c>
      <c r="B602" s="166">
        <v>880.9</v>
      </c>
      <c r="C602" s="9" t="s">
        <v>152</v>
      </c>
      <c r="D602" s="10">
        <f>B602/30/15*15</f>
        <v>29.363333333333333</v>
      </c>
      <c r="E602" s="1">
        <v>0.9</v>
      </c>
      <c r="F602" s="95">
        <v>0.9</v>
      </c>
      <c r="G602" s="109">
        <f t="shared" si="65"/>
        <v>0.5</v>
      </c>
      <c r="H602" s="109">
        <v>0.5</v>
      </c>
      <c r="I602" s="109">
        <v>0.9</v>
      </c>
      <c r="J602" s="113">
        <f t="shared" si="66"/>
        <v>0.5</v>
      </c>
      <c r="K602" s="12"/>
      <c r="L602" s="12" t="s">
        <v>508</v>
      </c>
      <c r="M602" s="129">
        <v>0.5</v>
      </c>
      <c r="N602" s="142">
        <f t="shared" si="67"/>
        <v>976.74192000000016</v>
      </c>
      <c r="O602" s="128">
        <f t="shared" si="68"/>
        <v>542.63440000000003</v>
      </c>
      <c r="P602" s="159">
        <f t="shared" si="69"/>
        <v>976.7</v>
      </c>
      <c r="Q602" s="160">
        <f t="shared" si="70"/>
        <v>542.6</v>
      </c>
    </row>
    <row r="603" spans="1:17" ht="24" thickTop="1" thickBot="1">
      <c r="A603" s="12" t="s">
        <v>509</v>
      </c>
      <c r="B603" s="166">
        <v>82.4</v>
      </c>
      <c r="C603" s="9" t="s">
        <v>92</v>
      </c>
      <c r="D603" s="10">
        <f>B603/20/5*10</f>
        <v>8.24</v>
      </c>
      <c r="E603" s="1">
        <v>0.9</v>
      </c>
      <c r="F603" s="95">
        <v>0.9</v>
      </c>
      <c r="G603" s="109">
        <f t="shared" si="65"/>
        <v>0.5</v>
      </c>
      <c r="H603" s="109">
        <v>0.5</v>
      </c>
      <c r="I603" s="109">
        <v>0.9</v>
      </c>
      <c r="J603" s="113">
        <f t="shared" si="66"/>
        <v>0.5</v>
      </c>
      <c r="K603" s="12"/>
      <c r="L603" s="12" t="s">
        <v>510</v>
      </c>
      <c r="M603" s="129">
        <v>0.5</v>
      </c>
      <c r="N603" s="142">
        <f t="shared" si="67"/>
        <v>91.365120000000033</v>
      </c>
      <c r="O603" s="128">
        <f t="shared" si="68"/>
        <v>50.758400000000009</v>
      </c>
      <c r="P603" s="159">
        <f t="shared" si="69"/>
        <v>91.4</v>
      </c>
      <c r="Q603" s="160">
        <f t="shared" si="70"/>
        <v>50.8</v>
      </c>
    </row>
    <row r="604" spans="1:17" ht="24" thickTop="1" thickBot="1">
      <c r="A604" s="12" t="s">
        <v>509</v>
      </c>
      <c r="B604" s="166">
        <v>83.7</v>
      </c>
      <c r="C604" s="9" t="s">
        <v>92</v>
      </c>
      <c r="D604" s="10">
        <f>B604/20/10*10</f>
        <v>4.1850000000000005</v>
      </c>
      <c r="E604" s="1">
        <v>0.9</v>
      </c>
      <c r="F604" s="95">
        <v>0.9</v>
      </c>
      <c r="G604" s="109">
        <f t="shared" si="65"/>
        <v>0.5</v>
      </c>
      <c r="H604" s="109">
        <v>0.5</v>
      </c>
      <c r="I604" s="109">
        <v>0.9</v>
      </c>
      <c r="J604" s="113">
        <f t="shared" si="66"/>
        <v>0.5</v>
      </c>
      <c r="K604" s="12"/>
      <c r="L604" s="12" t="s">
        <v>510</v>
      </c>
      <c r="M604" s="129">
        <v>0.5</v>
      </c>
      <c r="N604" s="142">
        <f t="shared" si="67"/>
        <v>92.806560000000019</v>
      </c>
      <c r="O604" s="128">
        <f t="shared" si="68"/>
        <v>51.559200000000011</v>
      </c>
      <c r="P604" s="159">
        <f t="shared" si="69"/>
        <v>92.8</v>
      </c>
      <c r="Q604" s="160">
        <f t="shared" si="70"/>
        <v>51.6</v>
      </c>
    </row>
    <row r="605" spans="1:17" ht="24" thickTop="1" thickBot="1">
      <c r="A605" s="12" t="s">
        <v>511</v>
      </c>
      <c r="B605" s="166">
        <v>115</v>
      </c>
      <c r="C605" s="9" t="s">
        <v>92</v>
      </c>
      <c r="D605" s="10">
        <f>B605/20/10*10</f>
        <v>5.75</v>
      </c>
      <c r="E605" s="1">
        <v>0.9</v>
      </c>
      <c r="F605" s="95">
        <v>0.9</v>
      </c>
      <c r="G605" s="109">
        <f t="shared" si="65"/>
        <v>0.5</v>
      </c>
      <c r="H605" s="109">
        <v>0.5</v>
      </c>
      <c r="I605" s="109">
        <v>0.9</v>
      </c>
      <c r="J605" s="113">
        <f t="shared" si="66"/>
        <v>0.5</v>
      </c>
      <c r="K605" s="12"/>
      <c r="L605" s="12" t="s">
        <v>510</v>
      </c>
      <c r="M605" s="129">
        <v>0.5</v>
      </c>
      <c r="N605" s="142">
        <f t="shared" si="67"/>
        <v>127.51200000000003</v>
      </c>
      <c r="O605" s="128">
        <f t="shared" si="68"/>
        <v>70.840000000000018</v>
      </c>
      <c r="P605" s="159">
        <f t="shared" si="69"/>
        <v>127.5</v>
      </c>
      <c r="Q605" s="160">
        <f t="shared" si="70"/>
        <v>70.8</v>
      </c>
    </row>
    <row r="606" spans="1:17" ht="24" thickTop="1" thickBot="1">
      <c r="A606" s="12" t="s">
        <v>512</v>
      </c>
      <c r="B606" s="166">
        <v>82.7</v>
      </c>
      <c r="C606" s="9" t="s">
        <v>92</v>
      </c>
      <c r="D606" s="10">
        <f>B606/20/5*10</f>
        <v>8.27</v>
      </c>
      <c r="E606" s="1">
        <v>0.9</v>
      </c>
      <c r="F606" s="95">
        <v>0.9</v>
      </c>
      <c r="G606" s="109">
        <f t="shared" si="65"/>
        <v>0.5</v>
      </c>
      <c r="H606" s="109">
        <v>0.5</v>
      </c>
      <c r="I606" s="109">
        <v>0.9</v>
      </c>
      <c r="J606" s="113">
        <f t="shared" si="66"/>
        <v>0.5</v>
      </c>
      <c r="K606" s="12"/>
      <c r="L606" s="12" t="s">
        <v>510</v>
      </c>
      <c r="M606" s="129">
        <v>0.5</v>
      </c>
      <c r="N606" s="142">
        <f t="shared" si="67"/>
        <v>91.697760000000017</v>
      </c>
      <c r="O606" s="128">
        <f t="shared" si="68"/>
        <v>50.943200000000012</v>
      </c>
      <c r="P606" s="159">
        <f t="shared" si="69"/>
        <v>91.7</v>
      </c>
      <c r="Q606" s="160">
        <f t="shared" si="70"/>
        <v>50.9</v>
      </c>
    </row>
    <row r="607" spans="1:17" ht="24" thickTop="1" thickBot="1">
      <c r="A607" s="12" t="s">
        <v>512</v>
      </c>
      <c r="B607" s="166">
        <v>115</v>
      </c>
      <c r="C607" s="9" t="s">
        <v>92</v>
      </c>
      <c r="D607" s="10">
        <f>B607/20/10*10</f>
        <v>5.75</v>
      </c>
      <c r="E607" s="1">
        <v>0.9</v>
      </c>
      <c r="F607" s="95">
        <v>0.9</v>
      </c>
      <c r="G607" s="109">
        <f t="shared" si="65"/>
        <v>0.5</v>
      </c>
      <c r="H607" s="109">
        <v>0.5</v>
      </c>
      <c r="I607" s="109">
        <v>0.9</v>
      </c>
      <c r="J607" s="113">
        <f t="shared" si="66"/>
        <v>0.5</v>
      </c>
      <c r="K607" s="12"/>
      <c r="L607" s="12" t="s">
        <v>510</v>
      </c>
      <c r="M607" s="129">
        <v>0.5</v>
      </c>
      <c r="N607" s="142">
        <f t="shared" si="67"/>
        <v>127.51200000000003</v>
      </c>
      <c r="O607" s="128">
        <f t="shared" si="68"/>
        <v>70.840000000000018</v>
      </c>
      <c r="P607" s="159">
        <f t="shared" si="69"/>
        <v>127.5</v>
      </c>
      <c r="Q607" s="160">
        <f t="shared" si="70"/>
        <v>70.8</v>
      </c>
    </row>
    <row r="608" spans="1:17" ht="24" thickTop="1" thickBot="1">
      <c r="A608" s="12" t="s">
        <v>513</v>
      </c>
      <c r="B608" s="166">
        <v>239</v>
      </c>
      <c r="C608" s="9" t="s">
        <v>273</v>
      </c>
      <c r="D608" s="10">
        <f>B608/30/25*100</f>
        <v>31.866666666666667</v>
      </c>
      <c r="E608" s="1">
        <v>0.75</v>
      </c>
      <c r="F608" s="95">
        <v>0.75</v>
      </c>
      <c r="G608" s="109">
        <f t="shared" si="65"/>
        <v>0.35</v>
      </c>
      <c r="H608" s="109">
        <v>0.35</v>
      </c>
      <c r="I608" s="109">
        <v>0.75</v>
      </c>
      <c r="J608" s="113">
        <f t="shared" si="66"/>
        <v>0.35</v>
      </c>
      <c r="K608" s="12"/>
      <c r="L608" s="12" t="s">
        <v>508</v>
      </c>
      <c r="M608" s="129">
        <v>0.35</v>
      </c>
      <c r="N608" s="142">
        <f t="shared" si="67"/>
        <v>220.83600000000004</v>
      </c>
      <c r="O608" s="128">
        <f t="shared" si="68"/>
        <v>103.05680000000001</v>
      </c>
      <c r="P608" s="159">
        <f t="shared" si="69"/>
        <v>220.8</v>
      </c>
      <c r="Q608" s="160">
        <f t="shared" si="70"/>
        <v>103.1</v>
      </c>
    </row>
    <row r="609" spans="1:17" ht="80.25" thickTop="1" thickBot="1">
      <c r="A609" s="12" t="s">
        <v>514</v>
      </c>
      <c r="B609" s="167">
        <v>250.1</v>
      </c>
      <c r="C609" s="9" t="s">
        <v>7</v>
      </c>
      <c r="D609" s="10">
        <f>B609/30/20*20</f>
        <v>8.336666666666666</v>
      </c>
      <c r="E609" s="1">
        <v>0.35</v>
      </c>
      <c r="F609" s="95">
        <v>0.35</v>
      </c>
      <c r="G609" s="109">
        <f t="shared" si="65"/>
        <v>0.1</v>
      </c>
      <c r="H609" s="109">
        <v>0.1</v>
      </c>
      <c r="I609" s="109">
        <v>0.35</v>
      </c>
      <c r="J609" s="113">
        <f t="shared" si="66"/>
        <v>0.1</v>
      </c>
      <c r="K609" s="12" t="s">
        <v>515</v>
      </c>
      <c r="L609" s="12" t="s">
        <v>516</v>
      </c>
      <c r="M609" s="129">
        <v>0.1</v>
      </c>
      <c r="N609" s="142">
        <f t="shared" si="67"/>
        <v>107.84312000000001</v>
      </c>
      <c r="O609" s="128">
        <f t="shared" si="68"/>
        <v>30.81232000000001</v>
      </c>
      <c r="P609" s="159">
        <f t="shared" si="69"/>
        <v>107.8</v>
      </c>
      <c r="Q609" s="160">
        <f t="shared" si="70"/>
        <v>30.8</v>
      </c>
    </row>
    <row r="610" spans="1:17" ht="80.25" thickTop="1" thickBot="1">
      <c r="A610" s="12" t="s">
        <v>708</v>
      </c>
      <c r="B610" s="167">
        <v>235</v>
      </c>
      <c r="C610" s="9" t="s">
        <v>112</v>
      </c>
      <c r="D610" s="10">
        <f>B610/28/50*50</f>
        <v>8.3928571428571423</v>
      </c>
      <c r="E610" s="1">
        <v>0.25</v>
      </c>
      <c r="F610" s="95">
        <v>0.25</v>
      </c>
      <c r="G610" s="109">
        <f t="shared" si="65"/>
        <v>0.1</v>
      </c>
      <c r="H610" s="109">
        <v>0.1</v>
      </c>
      <c r="I610" s="109">
        <v>0.25</v>
      </c>
      <c r="J610" s="113">
        <f t="shared" si="66"/>
        <v>0.1</v>
      </c>
      <c r="K610" s="12" t="s">
        <v>709</v>
      </c>
      <c r="L610" s="12" t="s">
        <v>710</v>
      </c>
      <c r="M610" s="129">
        <v>0.1</v>
      </c>
      <c r="N610" s="142">
        <f t="shared" si="67"/>
        <v>72.380000000000024</v>
      </c>
      <c r="O610" s="128">
        <f t="shared" si="68"/>
        <v>28.952000000000005</v>
      </c>
      <c r="P610" s="159">
        <f t="shared" si="69"/>
        <v>72.400000000000006</v>
      </c>
      <c r="Q610" s="160">
        <f t="shared" si="70"/>
        <v>29</v>
      </c>
    </row>
    <row r="611" spans="1:17" ht="80.25" thickTop="1" thickBot="1">
      <c r="A611" s="12" t="s">
        <v>708</v>
      </c>
      <c r="B611" s="167">
        <v>470</v>
      </c>
      <c r="C611" s="9" t="s">
        <v>112</v>
      </c>
      <c r="D611" s="10">
        <f>B611/28/100*50</f>
        <v>8.3928571428571423</v>
      </c>
      <c r="E611" s="1">
        <v>0.25</v>
      </c>
      <c r="F611" s="95">
        <v>0.25</v>
      </c>
      <c r="G611" s="109">
        <f t="shared" si="65"/>
        <v>0.1</v>
      </c>
      <c r="H611" s="109">
        <v>0.1</v>
      </c>
      <c r="I611" s="109">
        <v>0.25</v>
      </c>
      <c r="J611" s="113">
        <f t="shared" si="66"/>
        <v>0.1</v>
      </c>
      <c r="K611" s="12" t="s">
        <v>709</v>
      </c>
      <c r="L611" s="12" t="s">
        <v>710</v>
      </c>
      <c r="M611" s="129">
        <v>0.1</v>
      </c>
      <c r="N611" s="142">
        <f t="shared" si="67"/>
        <v>144.76000000000005</v>
      </c>
      <c r="O611" s="128">
        <f t="shared" si="68"/>
        <v>57.904000000000011</v>
      </c>
      <c r="P611" s="159">
        <f t="shared" si="69"/>
        <v>144.80000000000001</v>
      </c>
      <c r="Q611" s="160">
        <f t="shared" si="70"/>
        <v>57.9</v>
      </c>
    </row>
    <row r="612" spans="1:17" ht="24" thickTop="1" thickBot="1">
      <c r="A612" s="12" t="s">
        <v>517</v>
      </c>
      <c r="B612" s="166">
        <v>1479.6</v>
      </c>
      <c r="C612" s="9" t="s">
        <v>354</v>
      </c>
      <c r="D612" s="10">
        <f>B612/30/300*300</f>
        <v>49.32</v>
      </c>
      <c r="E612" s="11">
        <v>0.65</v>
      </c>
      <c r="F612" s="27">
        <v>0.65</v>
      </c>
      <c r="G612" s="109">
        <f t="shared" si="65"/>
        <v>0.25</v>
      </c>
      <c r="H612" s="109">
        <v>0.25</v>
      </c>
      <c r="I612" s="109">
        <v>0.65</v>
      </c>
      <c r="J612" s="113">
        <f t="shared" si="66"/>
        <v>0.25</v>
      </c>
      <c r="K612" s="12"/>
      <c r="L612" s="12" t="s">
        <v>518</v>
      </c>
      <c r="M612" s="129">
        <v>0.25</v>
      </c>
      <c r="N612" s="142">
        <f t="shared" si="67"/>
        <v>1184.8636800000004</v>
      </c>
      <c r="O612" s="128">
        <f t="shared" si="68"/>
        <v>455.71680000000003</v>
      </c>
      <c r="P612" s="159">
        <f t="shared" si="69"/>
        <v>1184.9000000000001</v>
      </c>
      <c r="Q612" s="160">
        <f t="shared" si="70"/>
        <v>455.7</v>
      </c>
    </row>
    <row r="613" spans="1:17" ht="24" thickTop="1" thickBot="1">
      <c r="A613" s="12" t="s">
        <v>519</v>
      </c>
      <c r="B613" s="166">
        <v>592.20000000000005</v>
      </c>
      <c r="C613" s="9" t="s">
        <v>43</v>
      </c>
      <c r="D613" s="10">
        <f>B613/30/30*60</f>
        <v>39.480000000000004</v>
      </c>
      <c r="E613" s="11">
        <v>0.65</v>
      </c>
      <c r="F613" s="27">
        <v>0.65</v>
      </c>
      <c r="G613" s="109">
        <f t="shared" si="65"/>
        <v>0.25</v>
      </c>
      <c r="H613" s="109">
        <v>0.25</v>
      </c>
      <c r="I613" s="109">
        <v>0.65</v>
      </c>
      <c r="J613" s="113">
        <f t="shared" si="66"/>
        <v>0.25</v>
      </c>
      <c r="K613" s="12" t="s">
        <v>520</v>
      </c>
      <c r="L613" s="12" t="s">
        <v>521</v>
      </c>
      <c r="M613" s="129">
        <v>0.25</v>
      </c>
      <c r="N613" s="142">
        <f t="shared" si="67"/>
        <v>474.23376000000019</v>
      </c>
      <c r="O613" s="128">
        <f t="shared" si="68"/>
        <v>182.39760000000004</v>
      </c>
      <c r="P613" s="159">
        <f t="shared" si="69"/>
        <v>474.2</v>
      </c>
      <c r="Q613" s="160">
        <f t="shared" si="70"/>
        <v>182.4</v>
      </c>
    </row>
    <row r="614" spans="1:17" ht="24" thickTop="1" thickBot="1">
      <c r="A614" s="12" t="s">
        <v>522</v>
      </c>
      <c r="B614" s="166">
        <v>507.3</v>
      </c>
      <c r="C614" s="9" t="s">
        <v>354</v>
      </c>
      <c r="D614" s="10">
        <f>B614/20/150*300</f>
        <v>50.73</v>
      </c>
      <c r="E614" s="11">
        <v>0.75</v>
      </c>
      <c r="F614" s="27">
        <v>0.75</v>
      </c>
      <c r="G614" s="109">
        <f t="shared" si="65"/>
        <v>0.35</v>
      </c>
      <c r="H614" s="109">
        <v>0.35</v>
      </c>
      <c r="I614" s="109">
        <v>0.75</v>
      </c>
      <c r="J614" s="113">
        <f t="shared" si="66"/>
        <v>0.35</v>
      </c>
      <c r="K614" s="12" t="s">
        <v>523</v>
      </c>
      <c r="L614" s="12" t="s">
        <v>524</v>
      </c>
      <c r="M614" s="129">
        <v>0.35</v>
      </c>
      <c r="N614" s="142">
        <f t="shared" si="67"/>
        <v>468.74520000000012</v>
      </c>
      <c r="O614" s="128">
        <f t="shared" si="68"/>
        <v>218.74776000000006</v>
      </c>
      <c r="P614" s="159">
        <f t="shared" si="69"/>
        <v>468.7</v>
      </c>
      <c r="Q614" s="160">
        <f t="shared" si="70"/>
        <v>218.7</v>
      </c>
    </row>
    <row r="615" spans="1:17" ht="24" thickTop="1" thickBot="1">
      <c r="A615" s="12" t="s">
        <v>525</v>
      </c>
      <c r="B615" s="166">
        <v>286.39999999999998</v>
      </c>
      <c r="C615" s="9" t="s">
        <v>22</v>
      </c>
      <c r="D615" s="10">
        <f>B615/30/30*30</f>
        <v>9.5466666666666651</v>
      </c>
      <c r="E615" s="11">
        <v>0.5</v>
      </c>
      <c r="F615" s="27">
        <v>0.5</v>
      </c>
      <c r="G615" s="109">
        <f t="shared" si="65"/>
        <v>9.9999999999999978E-2</v>
      </c>
      <c r="H615" s="109">
        <v>9.9999999999999978E-2</v>
      </c>
      <c r="I615" s="109">
        <v>0.5</v>
      </c>
      <c r="J615" s="113">
        <f t="shared" si="66"/>
        <v>9.9999999999999978E-2</v>
      </c>
      <c r="K615" s="51" t="s">
        <v>526</v>
      </c>
      <c r="L615" s="51" t="s">
        <v>527</v>
      </c>
      <c r="M615" s="136">
        <v>9.9999999999999978E-2</v>
      </c>
      <c r="N615" s="142">
        <f t="shared" si="67"/>
        <v>176.42240000000004</v>
      </c>
      <c r="O615" s="128">
        <f t="shared" si="68"/>
        <v>35.284479999999995</v>
      </c>
      <c r="P615" s="159">
        <f t="shared" si="69"/>
        <v>176.4</v>
      </c>
      <c r="Q615" s="160">
        <f t="shared" si="70"/>
        <v>35.299999999999997</v>
      </c>
    </row>
    <row r="616" spans="1:17" ht="24" thickTop="1" thickBot="1">
      <c r="A616" s="12" t="s">
        <v>528</v>
      </c>
      <c r="B616" s="166">
        <v>286.39999999999998</v>
      </c>
      <c r="C616" s="9" t="s">
        <v>22</v>
      </c>
      <c r="D616" s="10">
        <f>B616/30/30*30</f>
        <v>9.5466666666666651</v>
      </c>
      <c r="E616" s="11">
        <v>0.5</v>
      </c>
      <c r="F616" s="27">
        <v>0.5</v>
      </c>
      <c r="G616" s="109">
        <f t="shared" si="65"/>
        <v>9.9999999999999978E-2</v>
      </c>
      <c r="H616" s="109">
        <v>9.9999999999999978E-2</v>
      </c>
      <c r="I616" s="109">
        <v>0.5</v>
      </c>
      <c r="J616" s="113">
        <f t="shared" si="66"/>
        <v>9.9999999999999978E-2</v>
      </c>
      <c r="K616" s="51" t="s">
        <v>526</v>
      </c>
      <c r="L616" s="51" t="s">
        <v>521</v>
      </c>
      <c r="M616" s="136">
        <v>9.9999999999999978E-2</v>
      </c>
      <c r="N616" s="142">
        <f t="shared" si="67"/>
        <v>176.42240000000004</v>
      </c>
      <c r="O616" s="128">
        <f t="shared" si="68"/>
        <v>35.284479999999995</v>
      </c>
      <c r="P616" s="159">
        <f t="shared" si="69"/>
        <v>176.4</v>
      </c>
      <c r="Q616" s="160">
        <f t="shared" si="70"/>
        <v>35.299999999999997</v>
      </c>
    </row>
    <row r="617" spans="1:17" ht="24" thickTop="1" thickBot="1">
      <c r="A617" s="12" t="s">
        <v>529</v>
      </c>
      <c r="B617" s="166">
        <v>286.39999999999998</v>
      </c>
      <c r="C617" s="10" t="s">
        <v>22</v>
      </c>
      <c r="D617" s="10">
        <f>B617/30/30*30</f>
        <v>9.5466666666666651</v>
      </c>
      <c r="E617" s="1">
        <v>0.5</v>
      </c>
      <c r="F617" s="95">
        <v>0.5</v>
      </c>
      <c r="G617" s="109">
        <f t="shared" si="65"/>
        <v>9.9999999999999978E-2</v>
      </c>
      <c r="H617" s="109">
        <v>9.9999999999999978E-2</v>
      </c>
      <c r="I617" s="109">
        <v>0.5</v>
      </c>
      <c r="J617" s="113">
        <f t="shared" si="66"/>
        <v>9.9999999999999978E-2</v>
      </c>
      <c r="K617" s="51" t="s">
        <v>526</v>
      </c>
      <c r="L617" s="51" t="s">
        <v>521</v>
      </c>
      <c r="M617" s="136">
        <v>9.9999999999999978E-2</v>
      </c>
      <c r="N617" s="142">
        <f t="shared" si="67"/>
        <v>176.42240000000004</v>
      </c>
      <c r="O617" s="128">
        <f t="shared" si="68"/>
        <v>35.284479999999995</v>
      </c>
      <c r="P617" s="159">
        <f t="shared" si="69"/>
        <v>176.4</v>
      </c>
      <c r="Q617" s="160">
        <f t="shared" si="70"/>
        <v>35.299999999999997</v>
      </c>
    </row>
    <row r="618" spans="1:17" ht="24" thickTop="1" thickBot="1">
      <c r="A618" s="12" t="s">
        <v>529</v>
      </c>
      <c r="B618" s="166">
        <v>619.79999999999995</v>
      </c>
      <c r="C618" s="10" t="s">
        <v>22</v>
      </c>
      <c r="D618" s="10">
        <f>B618/30/45*30</f>
        <v>13.773333333333333</v>
      </c>
      <c r="E618" s="1">
        <v>0.5</v>
      </c>
      <c r="F618" s="95">
        <v>0.5</v>
      </c>
      <c r="G618" s="109">
        <f t="shared" si="65"/>
        <v>9.9999999999999978E-2</v>
      </c>
      <c r="H618" s="109">
        <v>9.9999999999999978E-2</v>
      </c>
      <c r="I618" s="109">
        <v>0.5</v>
      </c>
      <c r="J618" s="113">
        <f t="shared" si="66"/>
        <v>9.9999999999999978E-2</v>
      </c>
      <c r="K618" s="51" t="s">
        <v>526</v>
      </c>
      <c r="L618" s="51" t="s">
        <v>521</v>
      </c>
      <c r="M618" s="136">
        <v>9.9999999999999978E-2</v>
      </c>
      <c r="N618" s="142">
        <f t="shared" si="67"/>
        <v>381.79680000000008</v>
      </c>
      <c r="O618" s="128">
        <f t="shared" si="68"/>
        <v>76.359359999999995</v>
      </c>
      <c r="P618" s="159">
        <f t="shared" si="69"/>
        <v>381.8</v>
      </c>
      <c r="Q618" s="160">
        <f t="shared" si="70"/>
        <v>76.400000000000006</v>
      </c>
    </row>
    <row r="619" spans="1:17" ht="35.25" thickTop="1" thickBot="1">
      <c r="A619" s="12" t="s">
        <v>530</v>
      </c>
      <c r="B619" s="166">
        <v>978.4</v>
      </c>
      <c r="C619" s="10" t="s">
        <v>531</v>
      </c>
      <c r="D619" s="10">
        <f>B619/30/150*300</f>
        <v>65.226666666666659</v>
      </c>
      <c r="E619" s="11">
        <v>0.85</v>
      </c>
      <c r="F619" s="27">
        <v>0.85</v>
      </c>
      <c r="G619" s="109">
        <f t="shared" si="65"/>
        <v>0.44999999999999996</v>
      </c>
      <c r="H619" s="109">
        <v>0.44999999999999996</v>
      </c>
      <c r="I619" s="109">
        <v>0.85</v>
      </c>
      <c r="J619" s="113">
        <f t="shared" si="66"/>
        <v>0.44999999999999996</v>
      </c>
      <c r="K619" s="51" t="s">
        <v>532</v>
      </c>
      <c r="L619" s="51" t="s">
        <v>527</v>
      </c>
      <c r="M619" s="136">
        <v>0.44999999999999996</v>
      </c>
      <c r="N619" s="142">
        <f t="shared" si="67"/>
        <v>1024.5804800000001</v>
      </c>
      <c r="O619" s="128">
        <f t="shared" si="68"/>
        <v>542.42496000000006</v>
      </c>
      <c r="P619" s="159">
        <f t="shared" si="69"/>
        <v>1024.5999999999999</v>
      </c>
      <c r="Q619" s="160">
        <f t="shared" si="70"/>
        <v>542.4</v>
      </c>
    </row>
    <row r="620" spans="1:17" ht="35.25" thickTop="1" thickBot="1">
      <c r="A620" s="12" t="s">
        <v>530</v>
      </c>
      <c r="B620" s="166">
        <v>1803.7</v>
      </c>
      <c r="C620" s="9" t="s">
        <v>531</v>
      </c>
      <c r="D620" s="10">
        <f>B620/30/300*300</f>
        <v>60.123333333333335</v>
      </c>
      <c r="E620" s="11">
        <v>0.85</v>
      </c>
      <c r="F620" s="27">
        <v>0.85</v>
      </c>
      <c r="G620" s="109">
        <f t="shared" si="65"/>
        <v>0.44999999999999996</v>
      </c>
      <c r="H620" s="109">
        <v>0.44999999999999996</v>
      </c>
      <c r="I620" s="109">
        <v>0.85</v>
      </c>
      <c r="J620" s="113">
        <f t="shared" si="66"/>
        <v>0.44999999999999996</v>
      </c>
      <c r="K620" s="51" t="s">
        <v>532</v>
      </c>
      <c r="L620" s="51" t="s">
        <v>527</v>
      </c>
      <c r="M620" s="136">
        <v>0.44999999999999996</v>
      </c>
      <c r="N620" s="142">
        <f t="shared" si="67"/>
        <v>1888.8346400000003</v>
      </c>
      <c r="O620" s="128">
        <f t="shared" si="68"/>
        <v>999.97128000000009</v>
      </c>
      <c r="P620" s="159">
        <f t="shared" si="69"/>
        <v>1888.8</v>
      </c>
      <c r="Q620" s="160">
        <f t="shared" si="70"/>
        <v>1000</v>
      </c>
    </row>
    <row r="621" spans="1:17" ht="69" thickTop="1" thickBot="1">
      <c r="A621" s="12" t="s">
        <v>533</v>
      </c>
      <c r="B621" s="166">
        <v>325.10000000000002</v>
      </c>
      <c r="C621" s="9" t="s">
        <v>273</v>
      </c>
      <c r="D621" s="10">
        <f>B621/28/75*100</f>
        <v>15.480952380952381</v>
      </c>
      <c r="E621" s="11">
        <v>0.5</v>
      </c>
      <c r="F621" s="27">
        <v>0.5</v>
      </c>
      <c r="G621" s="109">
        <f t="shared" si="65"/>
        <v>9.9999999999999978E-2</v>
      </c>
      <c r="H621" s="109">
        <v>9.9999999999999978E-2</v>
      </c>
      <c r="I621" s="109">
        <v>0.5</v>
      </c>
      <c r="J621" s="113">
        <f t="shared" si="66"/>
        <v>9.9999999999999978E-2</v>
      </c>
      <c r="K621" s="12" t="s">
        <v>534</v>
      </c>
      <c r="L621" s="12" t="s">
        <v>527</v>
      </c>
      <c r="M621" s="129">
        <v>9.9999999999999978E-2</v>
      </c>
      <c r="N621" s="142">
        <f t="shared" si="67"/>
        <v>200.26160000000007</v>
      </c>
      <c r="O621" s="128">
        <f t="shared" si="68"/>
        <v>40.052320000000002</v>
      </c>
      <c r="P621" s="159">
        <f t="shared" si="69"/>
        <v>200.3</v>
      </c>
      <c r="Q621" s="160">
        <f t="shared" si="70"/>
        <v>40.1</v>
      </c>
    </row>
    <row r="622" spans="1:17" ht="69" thickTop="1" thickBot="1">
      <c r="A622" s="12" t="s">
        <v>533</v>
      </c>
      <c r="B622" s="166">
        <v>539.29999999999995</v>
      </c>
      <c r="C622" s="9" t="s">
        <v>273</v>
      </c>
      <c r="D622" s="10">
        <f>B622/28/150*100</f>
        <v>12.840476190476188</v>
      </c>
      <c r="E622" s="11">
        <v>0.5</v>
      </c>
      <c r="F622" s="27">
        <v>0.5</v>
      </c>
      <c r="G622" s="109">
        <f t="shared" si="65"/>
        <v>9.9999999999999978E-2</v>
      </c>
      <c r="H622" s="109">
        <v>9.9999999999999978E-2</v>
      </c>
      <c r="I622" s="109">
        <v>0.5</v>
      </c>
      <c r="J622" s="113">
        <f t="shared" si="66"/>
        <v>9.9999999999999978E-2</v>
      </c>
      <c r="K622" s="12" t="s">
        <v>534</v>
      </c>
      <c r="L622" s="12" t="s">
        <v>527</v>
      </c>
      <c r="M622" s="129">
        <v>9.9999999999999978E-2</v>
      </c>
      <c r="N622" s="142">
        <f t="shared" si="67"/>
        <v>332.2088</v>
      </c>
      <c r="O622" s="128">
        <f t="shared" si="68"/>
        <v>66.441759999999988</v>
      </c>
      <c r="P622" s="159">
        <f t="shared" si="69"/>
        <v>332.2</v>
      </c>
      <c r="Q622" s="160">
        <f t="shared" si="70"/>
        <v>66.400000000000006</v>
      </c>
    </row>
    <row r="623" spans="1:17" ht="69" thickTop="1" thickBot="1">
      <c r="A623" s="12" t="s">
        <v>535</v>
      </c>
      <c r="B623" s="166">
        <v>260.39999999999998</v>
      </c>
      <c r="C623" s="9" t="s">
        <v>273</v>
      </c>
      <c r="D623" s="10">
        <f>B623/30/37.5*100</f>
        <v>23.146666666666665</v>
      </c>
      <c r="E623" s="11">
        <v>0.5</v>
      </c>
      <c r="F623" s="27">
        <v>0.5</v>
      </c>
      <c r="G623" s="109">
        <f t="shared" si="65"/>
        <v>9.9999999999999978E-2</v>
      </c>
      <c r="H623" s="109">
        <v>9.9999999999999978E-2</v>
      </c>
      <c r="I623" s="109">
        <v>0.5</v>
      </c>
      <c r="J623" s="113">
        <f t="shared" si="66"/>
        <v>9.9999999999999978E-2</v>
      </c>
      <c r="K623" s="12" t="s">
        <v>534</v>
      </c>
      <c r="L623" s="12" t="s">
        <v>527</v>
      </c>
      <c r="M623" s="129">
        <v>9.9999999999999978E-2</v>
      </c>
      <c r="N623" s="142">
        <f t="shared" si="67"/>
        <v>160.40640000000002</v>
      </c>
      <c r="O623" s="128">
        <f t="shared" si="68"/>
        <v>32.081279999999992</v>
      </c>
      <c r="P623" s="159">
        <f t="shared" si="69"/>
        <v>160.4</v>
      </c>
      <c r="Q623" s="160">
        <f t="shared" si="70"/>
        <v>32.1</v>
      </c>
    </row>
    <row r="624" spans="1:17" ht="69" thickTop="1" thickBot="1">
      <c r="A624" s="12" t="s">
        <v>535</v>
      </c>
      <c r="B624" s="166">
        <v>348.3</v>
      </c>
      <c r="C624" s="9" t="s">
        <v>273</v>
      </c>
      <c r="D624" s="10">
        <f>B624/30/75*100</f>
        <v>15.480000000000002</v>
      </c>
      <c r="E624" s="11">
        <v>0.5</v>
      </c>
      <c r="F624" s="27">
        <v>0.5</v>
      </c>
      <c r="G624" s="109">
        <f t="shared" si="65"/>
        <v>9.9999999999999978E-2</v>
      </c>
      <c r="H624" s="109">
        <v>9.9999999999999978E-2</v>
      </c>
      <c r="I624" s="109">
        <v>0.5</v>
      </c>
      <c r="J624" s="113">
        <f t="shared" si="66"/>
        <v>9.9999999999999978E-2</v>
      </c>
      <c r="K624" s="12" t="s">
        <v>534</v>
      </c>
      <c r="L624" s="12" t="s">
        <v>527</v>
      </c>
      <c r="M624" s="129">
        <v>9.9999999999999978E-2</v>
      </c>
      <c r="N624" s="142">
        <f t="shared" si="67"/>
        <v>214.55280000000005</v>
      </c>
      <c r="O624" s="128">
        <f t="shared" si="68"/>
        <v>42.910559999999997</v>
      </c>
      <c r="P624" s="159">
        <f t="shared" si="69"/>
        <v>214.6</v>
      </c>
      <c r="Q624" s="160">
        <f t="shared" si="70"/>
        <v>42.9</v>
      </c>
    </row>
    <row r="625" spans="1:17" ht="69" thickTop="1" thickBot="1">
      <c r="A625" s="53" t="s">
        <v>536</v>
      </c>
      <c r="B625" s="166">
        <v>216.1</v>
      </c>
      <c r="C625" s="9" t="s">
        <v>273</v>
      </c>
      <c r="D625" s="10">
        <f>B625/28/37.5*100</f>
        <v>20.580952380952379</v>
      </c>
      <c r="E625" s="11">
        <v>0.5</v>
      </c>
      <c r="F625" s="27">
        <v>0.5</v>
      </c>
      <c r="G625" s="109">
        <f t="shared" si="65"/>
        <v>9.9999999999999978E-2</v>
      </c>
      <c r="H625" s="109">
        <v>9.9999999999999978E-2</v>
      </c>
      <c r="I625" s="109">
        <v>0.5</v>
      </c>
      <c r="J625" s="113">
        <f t="shared" si="66"/>
        <v>9.9999999999999978E-2</v>
      </c>
      <c r="K625" s="67" t="s">
        <v>537</v>
      </c>
      <c r="L625" s="67" t="s">
        <v>510</v>
      </c>
      <c r="M625" s="137">
        <v>9.9999999999999978E-2</v>
      </c>
      <c r="N625" s="142">
        <f t="shared" si="67"/>
        <v>133.11760000000001</v>
      </c>
      <c r="O625" s="128">
        <f t="shared" si="68"/>
        <v>26.623520000000003</v>
      </c>
      <c r="P625" s="159">
        <f t="shared" si="69"/>
        <v>133.1</v>
      </c>
      <c r="Q625" s="160">
        <f t="shared" si="70"/>
        <v>26.6</v>
      </c>
    </row>
    <row r="626" spans="1:17" ht="69" thickTop="1" thickBot="1">
      <c r="A626" s="53" t="s">
        <v>536</v>
      </c>
      <c r="B626" s="166">
        <v>325.10000000000002</v>
      </c>
      <c r="C626" s="9" t="s">
        <v>273</v>
      </c>
      <c r="D626" s="10">
        <f>B626/28/75*100</f>
        <v>15.480952380952381</v>
      </c>
      <c r="E626" s="11">
        <v>0.5</v>
      </c>
      <c r="F626" s="27">
        <v>0.5</v>
      </c>
      <c r="G626" s="109">
        <f t="shared" si="65"/>
        <v>9.9999999999999978E-2</v>
      </c>
      <c r="H626" s="109">
        <v>9.9999999999999978E-2</v>
      </c>
      <c r="I626" s="109">
        <v>0.5</v>
      </c>
      <c r="J626" s="113">
        <f t="shared" si="66"/>
        <v>9.9999999999999978E-2</v>
      </c>
      <c r="K626" s="67" t="s">
        <v>537</v>
      </c>
      <c r="L626" s="67" t="s">
        <v>510</v>
      </c>
      <c r="M626" s="137">
        <v>9.9999999999999978E-2</v>
      </c>
      <c r="N626" s="142">
        <f t="shared" si="67"/>
        <v>200.26160000000007</v>
      </c>
      <c r="O626" s="128">
        <f t="shared" si="68"/>
        <v>40.052320000000002</v>
      </c>
      <c r="P626" s="159">
        <f t="shared" si="69"/>
        <v>200.3</v>
      </c>
      <c r="Q626" s="160">
        <f t="shared" si="70"/>
        <v>40.1</v>
      </c>
    </row>
    <row r="627" spans="1:17" ht="46.5" thickTop="1" thickBot="1">
      <c r="A627" s="56" t="s">
        <v>538</v>
      </c>
      <c r="B627" s="166">
        <v>402.4</v>
      </c>
      <c r="C627" s="10" t="s">
        <v>43</v>
      </c>
      <c r="D627" s="10">
        <f>B627/28/30*60</f>
        <v>28.74285714285714</v>
      </c>
      <c r="E627" s="11">
        <v>0.75</v>
      </c>
      <c r="F627" s="27">
        <v>0.75</v>
      </c>
      <c r="G627" s="109">
        <f t="shared" si="65"/>
        <v>0.35</v>
      </c>
      <c r="H627" s="109">
        <v>0.35</v>
      </c>
      <c r="I627" s="109">
        <v>0.75</v>
      </c>
      <c r="J627" s="113">
        <f t="shared" si="66"/>
        <v>0.35</v>
      </c>
      <c r="K627" s="12" t="s">
        <v>539</v>
      </c>
      <c r="L627" s="12" t="s">
        <v>540</v>
      </c>
      <c r="M627" s="129">
        <v>0.35</v>
      </c>
      <c r="N627" s="142">
        <f t="shared" si="67"/>
        <v>371.81759999999997</v>
      </c>
      <c r="O627" s="128">
        <f t="shared" si="68"/>
        <v>173.51487999999998</v>
      </c>
      <c r="P627" s="159">
        <f t="shared" si="69"/>
        <v>371.8</v>
      </c>
      <c r="Q627" s="160">
        <f t="shared" si="70"/>
        <v>173.5</v>
      </c>
    </row>
    <row r="628" spans="1:17" ht="46.5" thickTop="1" thickBot="1">
      <c r="A628" s="56" t="s">
        <v>538</v>
      </c>
      <c r="B628" s="166">
        <v>662.7</v>
      </c>
      <c r="C628" s="10" t="s">
        <v>43</v>
      </c>
      <c r="D628" s="10">
        <f>B628/28/60*60</f>
        <v>23.667857142857144</v>
      </c>
      <c r="E628" s="11">
        <v>0.75</v>
      </c>
      <c r="F628" s="27">
        <v>0.75</v>
      </c>
      <c r="G628" s="109">
        <f t="shared" si="65"/>
        <v>0.35</v>
      </c>
      <c r="H628" s="109">
        <v>0.35</v>
      </c>
      <c r="I628" s="109">
        <v>0.75</v>
      </c>
      <c r="J628" s="113">
        <f t="shared" si="66"/>
        <v>0.35</v>
      </c>
      <c r="K628" s="12" t="s">
        <v>539</v>
      </c>
      <c r="L628" s="12" t="s">
        <v>540</v>
      </c>
      <c r="M628" s="129">
        <v>0.35</v>
      </c>
      <c r="N628" s="142">
        <f t="shared" si="67"/>
        <v>612.3348000000002</v>
      </c>
      <c r="O628" s="128">
        <f t="shared" si="68"/>
        <v>285.75624000000005</v>
      </c>
      <c r="P628" s="159">
        <f t="shared" si="69"/>
        <v>612.29999999999995</v>
      </c>
      <c r="Q628" s="160">
        <f t="shared" si="70"/>
        <v>285.8</v>
      </c>
    </row>
    <row r="629" spans="1:17" ht="46.5" thickTop="1" thickBot="1">
      <c r="A629" s="12" t="s">
        <v>541</v>
      </c>
      <c r="B629" s="166">
        <v>402.4</v>
      </c>
      <c r="C629" s="10" t="s">
        <v>43</v>
      </c>
      <c r="D629" s="10">
        <f>B629/28/30*60</f>
        <v>28.74285714285714</v>
      </c>
      <c r="E629" s="11">
        <v>0.75</v>
      </c>
      <c r="F629" s="27">
        <v>0.75</v>
      </c>
      <c r="G629" s="109">
        <f t="shared" si="65"/>
        <v>0.35</v>
      </c>
      <c r="H629" s="109">
        <v>0.35</v>
      </c>
      <c r="I629" s="109">
        <v>0.75</v>
      </c>
      <c r="J629" s="113">
        <f t="shared" si="66"/>
        <v>0.35</v>
      </c>
      <c r="K629" s="12" t="s">
        <v>539</v>
      </c>
      <c r="L629" s="12" t="s">
        <v>542</v>
      </c>
      <c r="M629" s="129">
        <v>0.35</v>
      </c>
      <c r="N629" s="142">
        <f t="shared" si="67"/>
        <v>371.81759999999997</v>
      </c>
      <c r="O629" s="128">
        <f t="shared" si="68"/>
        <v>173.51487999999998</v>
      </c>
      <c r="P629" s="159">
        <f t="shared" si="69"/>
        <v>371.8</v>
      </c>
      <c r="Q629" s="160">
        <f t="shared" si="70"/>
        <v>173.5</v>
      </c>
    </row>
    <row r="630" spans="1:17" ht="46.5" thickTop="1" thickBot="1">
      <c r="A630" s="12" t="s">
        <v>541</v>
      </c>
      <c r="B630" s="167">
        <v>662.7</v>
      </c>
      <c r="C630" s="10" t="s">
        <v>43</v>
      </c>
      <c r="D630" s="10">
        <f>B630/28/60*60</f>
        <v>23.667857142857144</v>
      </c>
      <c r="E630" s="11">
        <v>0.75</v>
      </c>
      <c r="F630" s="27">
        <v>0.75</v>
      </c>
      <c r="G630" s="109">
        <f t="shared" si="65"/>
        <v>0.35</v>
      </c>
      <c r="H630" s="109">
        <v>0.35</v>
      </c>
      <c r="I630" s="109">
        <v>0.75</v>
      </c>
      <c r="J630" s="113">
        <f t="shared" si="66"/>
        <v>0.35</v>
      </c>
      <c r="K630" s="12" t="s">
        <v>539</v>
      </c>
      <c r="L630" s="12" t="s">
        <v>542</v>
      </c>
      <c r="M630" s="129">
        <v>0.35</v>
      </c>
      <c r="N630" s="142">
        <f t="shared" si="67"/>
        <v>612.3348000000002</v>
      </c>
      <c r="O630" s="128">
        <f t="shared" si="68"/>
        <v>285.75624000000005</v>
      </c>
      <c r="P630" s="159">
        <f t="shared" si="69"/>
        <v>612.29999999999995</v>
      </c>
      <c r="Q630" s="160">
        <f t="shared" si="70"/>
        <v>285.8</v>
      </c>
    </row>
    <row r="631" spans="1:17" ht="46.5" thickTop="1" thickBot="1">
      <c r="A631" s="12" t="s">
        <v>541</v>
      </c>
      <c r="B631" s="167">
        <v>1173.5</v>
      </c>
      <c r="C631" s="10" t="s">
        <v>43</v>
      </c>
      <c r="D631" s="10">
        <f>B631/28/90*60</f>
        <v>27.94047619047619</v>
      </c>
      <c r="E631" s="11">
        <v>0.75</v>
      </c>
      <c r="F631" s="27">
        <v>0.75</v>
      </c>
      <c r="G631" s="109">
        <f t="shared" si="65"/>
        <v>0.35</v>
      </c>
      <c r="H631" s="109">
        <v>0.35</v>
      </c>
      <c r="I631" s="109">
        <v>0.75</v>
      </c>
      <c r="J631" s="113">
        <f t="shared" si="66"/>
        <v>0.35</v>
      </c>
      <c r="K631" s="12" t="s">
        <v>539</v>
      </c>
      <c r="L631" s="12" t="s">
        <v>542</v>
      </c>
      <c r="M631" s="129">
        <v>0.35</v>
      </c>
      <c r="N631" s="142">
        <f t="shared" si="67"/>
        <v>1084.3140000000003</v>
      </c>
      <c r="O631" s="128">
        <f t="shared" si="68"/>
        <v>506.01320000000004</v>
      </c>
      <c r="P631" s="159">
        <f t="shared" si="69"/>
        <v>1084.3</v>
      </c>
      <c r="Q631" s="160">
        <f t="shared" si="70"/>
        <v>506</v>
      </c>
    </row>
    <row r="632" spans="1:17" ht="46.5" thickTop="1" thickBot="1">
      <c r="A632" s="12" t="s">
        <v>543</v>
      </c>
      <c r="B632" s="166">
        <v>402.4</v>
      </c>
      <c r="C632" s="90" t="s">
        <v>43</v>
      </c>
      <c r="D632" s="10">
        <f>B632/28/30*60</f>
        <v>28.74285714285714</v>
      </c>
      <c r="E632" s="11">
        <v>0.75</v>
      </c>
      <c r="F632" s="27">
        <v>0.75</v>
      </c>
      <c r="G632" s="109">
        <f t="shared" si="65"/>
        <v>0.35</v>
      </c>
      <c r="H632" s="109">
        <v>0.35</v>
      </c>
      <c r="I632" s="109">
        <v>0.75</v>
      </c>
      <c r="J632" s="113">
        <f t="shared" si="66"/>
        <v>0.35</v>
      </c>
      <c r="K632" s="12" t="s">
        <v>539</v>
      </c>
      <c r="L632" s="12" t="s">
        <v>542</v>
      </c>
      <c r="M632" s="129">
        <v>0.35</v>
      </c>
      <c r="N632" s="142">
        <f t="shared" si="67"/>
        <v>371.81759999999997</v>
      </c>
      <c r="O632" s="128">
        <f t="shared" si="68"/>
        <v>173.51487999999998</v>
      </c>
      <c r="P632" s="159">
        <f t="shared" si="69"/>
        <v>371.8</v>
      </c>
      <c r="Q632" s="160">
        <f t="shared" si="70"/>
        <v>173.5</v>
      </c>
    </row>
    <row r="633" spans="1:17" ht="46.5" thickTop="1" thickBot="1">
      <c r="A633" s="12" t="s">
        <v>543</v>
      </c>
      <c r="B633" s="167">
        <v>662.7</v>
      </c>
      <c r="C633" s="90" t="s">
        <v>43</v>
      </c>
      <c r="D633" s="10">
        <f>B633/28/60*60</f>
        <v>23.667857142857144</v>
      </c>
      <c r="E633" s="11">
        <v>0.75</v>
      </c>
      <c r="F633" s="27">
        <v>0.75</v>
      </c>
      <c r="G633" s="109">
        <f t="shared" si="65"/>
        <v>0.35</v>
      </c>
      <c r="H633" s="109">
        <v>0.35</v>
      </c>
      <c r="I633" s="109">
        <v>0.75</v>
      </c>
      <c r="J633" s="113">
        <f t="shared" si="66"/>
        <v>0.35</v>
      </c>
      <c r="K633" s="12" t="s">
        <v>539</v>
      </c>
      <c r="L633" s="12" t="s">
        <v>542</v>
      </c>
      <c r="M633" s="129">
        <v>0.35</v>
      </c>
      <c r="N633" s="142">
        <f t="shared" si="67"/>
        <v>612.3348000000002</v>
      </c>
      <c r="O633" s="128">
        <f t="shared" si="68"/>
        <v>285.75624000000005</v>
      </c>
      <c r="P633" s="159">
        <f t="shared" si="69"/>
        <v>612.29999999999995</v>
      </c>
      <c r="Q633" s="160">
        <f t="shared" si="70"/>
        <v>285.8</v>
      </c>
    </row>
    <row r="634" spans="1:17" ht="46.5" thickTop="1" thickBot="1">
      <c r="A634" s="57" t="s">
        <v>698</v>
      </c>
      <c r="B634" s="167">
        <v>402.4</v>
      </c>
      <c r="C634" s="44" t="s">
        <v>43</v>
      </c>
      <c r="D634" s="82">
        <f>B634/(28*30)*60</f>
        <v>28.74285714285714</v>
      </c>
      <c r="E634" s="11">
        <v>0.75</v>
      </c>
      <c r="F634" s="27">
        <v>0.75</v>
      </c>
      <c r="G634" s="109">
        <f t="shared" si="65"/>
        <v>0.35</v>
      </c>
      <c r="H634" s="109">
        <v>0.35</v>
      </c>
      <c r="I634" s="109">
        <v>0.75</v>
      </c>
      <c r="J634" s="113">
        <f t="shared" si="66"/>
        <v>0.35</v>
      </c>
      <c r="K634" s="12" t="s">
        <v>539</v>
      </c>
      <c r="L634" s="12" t="s">
        <v>542</v>
      </c>
      <c r="M634" s="129">
        <v>0.35</v>
      </c>
      <c r="N634" s="142">
        <f t="shared" si="67"/>
        <v>371.81759999999997</v>
      </c>
      <c r="O634" s="128">
        <f t="shared" si="68"/>
        <v>173.51487999999998</v>
      </c>
      <c r="P634" s="159">
        <f t="shared" si="69"/>
        <v>371.8</v>
      </c>
      <c r="Q634" s="160">
        <f t="shared" si="70"/>
        <v>173.5</v>
      </c>
    </row>
    <row r="635" spans="1:17" ht="46.5" thickTop="1" thickBot="1">
      <c r="A635" s="57" t="s">
        <v>698</v>
      </c>
      <c r="B635" s="167">
        <v>662.7</v>
      </c>
      <c r="C635" s="44" t="s">
        <v>43</v>
      </c>
      <c r="D635" s="82">
        <f>B635/(28*60)*60</f>
        <v>23.667857142857144</v>
      </c>
      <c r="E635" s="11">
        <v>0.75</v>
      </c>
      <c r="F635" s="27">
        <v>0.75</v>
      </c>
      <c r="G635" s="109">
        <f t="shared" si="65"/>
        <v>0.35</v>
      </c>
      <c r="H635" s="109">
        <v>0.35</v>
      </c>
      <c r="I635" s="109">
        <v>0.75</v>
      </c>
      <c r="J635" s="113">
        <f t="shared" si="66"/>
        <v>0.35</v>
      </c>
      <c r="K635" s="12" t="s">
        <v>539</v>
      </c>
      <c r="L635" s="12" t="s">
        <v>542</v>
      </c>
      <c r="M635" s="129">
        <v>0.35</v>
      </c>
      <c r="N635" s="142">
        <f t="shared" si="67"/>
        <v>612.3348000000002</v>
      </c>
      <c r="O635" s="128">
        <f t="shared" si="68"/>
        <v>285.75624000000005</v>
      </c>
      <c r="P635" s="159">
        <f t="shared" si="69"/>
        <v>612.29999999999995</v>
      </c>
      <c r="Q635" s="160">
        <f t="shared" si="70"/>
        <v>285.8</v>
      </c>
    </row>
    <row r="636" spans="1:17" ht="24" thickTop="1" thickBot="1">
      <c r="A636" s="12" t="s">
        <v>547</v>
      </c>
      <c r="B636" s="167">
        <v>1417.1</v>
      </c>
      <c r="C636" s="90" t="s">
        <v>544</v>
      </c>
      <c r="D636" s="10">
        <f>+B636/28/25*25</f>
        <v>50.610714285714273</v>
      </c>
      <c r="E636" s="11">
        <v>0.9</v>
      </c>
      <c r="F636" s="27">
        <v>0.9</v>
      </c>
      <c r="G636" s="109">
        <f t="shared" si="65"/>
        <v>0.5</v>
      </c>
      <c r="H636" s="109">
        <v>0.5</v>
      </c>
      <c r="I636" s="109">
        <v>0.9</v>
      </c>
      <c r="J636" s="113">
        <f t="shared" si="66"/>
        <v>0.5</v>
      </c>
      <c r="K636" s="12" t="s">
        <v>545</v>
      </c>
      <c r="L636" s="12" t="s">
        <v>546</v>
      </c>
      <c r="M636" s="129">
        <v>0.5</v>
      </c>
      <c r="N636" s="142">
        <f t="shared" si="67"/>
        <v>1571.2804800000001</v>
      </c>
      <c r="O636" s="128">
        <f t="shared" si="68"/>
        <v>872.93360000000007</v>
      </c>
      <c r="P636" s="159">
        <f t="shared" si="69"/>
        <v>1571.3</v>
      </c>
      <c r="Q636" s="160">
        <f t="shared" si="70"/>
        <v>872.9</v>
      </c>
    </row>
    <row r="637" spans="1:17" ht="24" thickTop="1" thickBot="1">
      <c r="A637" s="12" t="s">
        <v>548</v>
      </c>
      <c r="B637" s="167">
        <v>1417.1</v>
      </c>
      <c r="C637" s="90" t="s">
        <v>544</v>
      </c>
      <c r="D637" s="10">
        <f>+B637/28/25*25</f>
        <v>50.610714285714273</v>
      </c>
      <c r="E637" s="11">
        <v>0.9</v>
      </c>
      <c r="F637" s="27">
        <v>0.9</v>
      </c>
      <c r="G637" s="109">
        <f t="shared" ref="G637:G700" si="71">IF(AND(F637&gt;=0.15, F637&lt;=0.45), 0.1, IF(AND(F637&gt;=0.5, F637&lt;=0.9), F637-0.4, F637))</f>
        <v>0.5</v>
      </c>
      <c r="H637" s="109">
        <v>0.5</v>
      </c>
      <c r="I637" s="109">
        <v>0.9</v>
      </c>
      <c r="J637" s="113">
        <f t="shared" ref="J637:J700" si="72">H637</f>
        <v>0.5</v>
      </c>
      <c r="K637" s="12" t="s">
        <v>545</v>
      </c>
      <c r="L637" s="12" t="s">
        <v>546</v>
      </c>
      <c r="M637" s="129">
        <v>0.5</v>
      </c>
      <c r="N637" s="142">
        <f t="shared" si="67"/>
        <v>1571.2804800000001</v>
      </c>
      <c r="O637" s="128">
        <f t="shared" si="68"/>
        <v>872.93360000000007</v>
      </c>
      <c r="P637" s="159">
        <f t="shared" si="69"/>
        <v>1571.3</v>
      </c>
      <c r="Q637" s="160">
        <f t="shared" si="70"/>
        <v>872.9</v>
      </c>
    </row>
    <row r="638" spans="1:17" ht="24" thickTop="1" thickBot="1">
      <c r="A638" s="12" t="s">
        <v>549</v>
      </c>
      <c r="B638" s="166">
        <v>1159.3</v>
      </c>
      <c r="C638" s="9" t="s">
        <v>112</v>
      </c>
      <c r="D638" s="10">
        <f>+B638/30</f>
        <v>38.643333333333331</v>
      </c>
      <c r="E638" s="11">
        <v>0.85</v>
      </c>
      <c r="F638" s="27">
        <v>0.85</v>
      </c>
      <c r="G638" s="109">
        <f t="shared" si="71"/>
        <v>0.44999999999999996</v>
      </c>
      <c r="H638" s="109">
        <v>0.44999999999999996</v>
      </c>
      <c r="I638" s="109">
        <v>0.85</v>
      </c>
      <c r="J638" s="113">
        <f t="shared" si="72"/>
        <v>0.44999999999999996</v>
      </c>
      <c r="K638" s="15" t="s">
        <v>550</v>
      </c>
      <c r="L638" s="15" t="s">
        <v>551</v>
      </c>
      <c r="M638" s="131">
        <v>0.44999999999999996</v>
      </c>
      <c r="N638" s="142">
        <f t="shared" si="67"/>
        <v>1214.0189600000001</v>
      </c>
      <c r="O638" s="128">
        <f t="shared" si="68"/>
        <v>642.71591999999998</v>
      </c>
      <c r="P638" s="159">
        <f t="shared" si="69"/>
        <v>1214</v>
      </c>
      <c r="Q638" s="160">
        <f t="shared" si="70"/>
        <v>642.70000000000005</v>
      </c>
    </row>
    <row r="639" spans="1:17" ht="24" thickTop="1" thickBot="1">
      <c r="A639" s="12" t="s">
        <v>552</v>
      </c>
      <c r="B639" s="166">
        <v>762.8</v>
      </c>
      <c r="C639" s="9" t="s">
        <v>553</v>
      </c>
      <c r="D639" s="10">
        <f>B639/28/5*7.5</f>
        <v>40.864285714285714</v>
      </c>
      <c r="E639" s="11">
        <v>0.6</v>
      </c>
      <c r="F639" s="27">
        <v>0.6</v>
      </c>
      <c r="G639" s="109">
        <f t="shared" si="71"/>
        <v>0.19999999999999996</v>
      </c>
      <c r="H639" s="109">
        <v>0.19999999999999996</v>
      </c>
      <c r="I639" s="109">
        <v>0.6</v>
      </c>
      <c r="J639" s="113">
        <f t="shared" si="72"/>
        <v>0.19999999999999996</v>
      </c>
      <c r="K639" s="12" t="s">
        <v>554</v>
      </c>
      <c r="L639" s="12" t="s">
        <v>527</v>
      </c>
      <c r="M639" s="129">
        <v>0.19999999999999996</v>
      </c>
      <c r="N639" s="142">
        <f t="shared" si="67"/>
        <v>563.86176</v>
      </c>
      <c r="O639" s="128">
        <f t="shared" si="68"/>
        <v>187.95391999999998</v>
      </c>
      <c r="P639" s="159">
        <f t="shared" si="69"/>
        <v>563.9</v>
      </c>
      <c r="Q639" s="160">
        <f t="shared" si="70"/>
        <v>188</v>
      </c>
    </row>
    <row r="640" spans="1:17" ht="24" thickTop="1" thickBot="1">
      <c r="A640" s="12" t="s">
        <v>552</v>
      </c>
      <c r="B640" s="166">
        <v>1159.9000000000001</v>
      </c>
      <c r="C640" s="9" t="s">
        <v>553</v>
      </c>
      <c r="D640" s="10">
        <f>B640/28/10*7.5</f>
        <v>31.068750000000001</v>
      </c>
      <c r="E640" s="11">
        <v>0.6</v>
      </c>
      <c r="F640" s="27">
        <v>0.6</v>
      </c>
      <c r="G640" s="109">
        <f t="shared" si="71"/>
        <v>0.19999999999999996</v>
      </c>
      <c r="H640" s="109">
        <v>0.19999999999999996</v>
      </c>
      <c r="I640" s="109">
        <v>0.6</v>
      </c>
      <c r="J640" s="113">
        <f t="shared" si="72"/>
        <v>0.19999999999999996</v>
      </c>
      <c r="K640" s="12" t="s">
        <v>554</v>
      </c>
      <c r="L640" s="12" t="s">
        <v>521</v>
      </c>
      <c r="M640" s="129">
        <v>0.19999999999999996</v>
      </c>
      <c r="N640" s="142">
        <f t="shared" si="67"/>
        <v>857.39808000000028</v>
      </c>
      <c r="O640" s="128">
        <f t="shared" si="68"/>
        <v>285.79935999999998</v>
      </c>
      <c r="P640" s="159">
        <f t="shared" si="69"/>
        <v>857.4</v>
      </c>
      <c r="Q640" s="160">
        <f t="shared" si="70"/>
        <v>285.8</v>
      </c>
    </row>
    <row r="641" spans="1:17" ht="24" thickTop="1" thickBot="1">
      <c r="A641" s="12" t="s">
        <v>555</v>
      </c>
      <c r="B641" s="166">
        <v>762.8</v>
      </c>
      <c r="C641" s="9" t="s">
        <v>553</v>
      </c>
      <c r="D641" s="10">
        <f>B641/28/5*7.5</f>
        <v>40.864285714285714</v>
      </c>
      <c r="E641" s="11">
        <v>0.6</v>
      </c>
      <c r="F641" s="27">
        <v>0.6</v>
      </c>
      <c r="G641" s="109">
        <f t="shared" si="71"/>
        <v>0.19999999999999996</v>
      </c>
      <c r="H641" s="109">
        <v>0.19999999999999996</v>
      </c>
      <c r="I641" s="109">
        <v>0.6</v>
      </c>
      <c r="J641" s="113">
        <f t="shared" si="72"/>
        <v>0.19999999999999996</v>
      </c>
      <c r="K641" s="12" t="s">
        <v>556</v>
      </c>
      <c r="L641" s="12" t="s">
        <v>527</v>
      </c>
      <c r="M641" s="129">
        <v>0.19999999999999996</v>
      </c>
      <c r="N641" s="142">
        <f t="shared" si="67"/>
        <v>563.86176</v>
      </c>
      <c r="O641" s="128">
        <f t="shared" si="68"/>
        <v>187.95391999999998</v>
      </c>
      <c r="P641" s="159">
        <f t="shared" si="69"/>
        <v>563.9</v>
      </c>
      <c r="Q641" s="160">
        <f t="shared" si="70"/>
        <v>188</v>
      </c>
    </row>
    <row r="642" spans="1:17" ht="24" thickTop="1" thickBot="1">
      <c r="A642" s="12" t="s">
        <v>555</v>
      </c>
      <c r="B642" s="166">
        <v>1159.9000000000001</v>
      </c>
      <c r="C642" s="9" t="s">
        <v>553</v>
      </c>
      <c r="D642" s="10">
        <f>B642/28/10*7.5</f>
        <v>31.068750000000001</v>
      </c>
      <c r="E642" s="11">
        <v>0.6</v>
      </c>
      <c r="F642" s="27">
        <v>0.6</v>
      </c>
      <c r="G642" s="109">
        <f t="shared" si="71"/>
        <v>0.19999999999999996</v>
      </c>
      <c r="H642" s="109">
        <v>0.19999999999999996</v>
      </c>
      <c r="I642" s="109">
        <v>0.6</v>
      </c>
      <c r="J642" s="113">
        <f t="shared" si="72"/>
        <v>0.19999999999999996</v>
      </c>
      <c r="K642" s="12" t="s">
        <v>556</v>
      </c>
      <c r="L642" s="12" t="s">
        <v>527</v>
      </c>
      <c r="M642" s="129">
        <v>0.19999999999999996</v>
      </c>
      <c r="N642" s="142">
        <f t="shared" si="67"/>
        <v>857.39808000000028</v>
      </c>
      <c r="O642" s="128">
        <f t="shared" si="68"/>
        <v>285.79935999999998</v>
      </c>
      <c r="P642" s="159">
        <f t="shared" si="69"/>
        <v>857.4</v>
      </c>
      <c r="Q642" s="160">
        <f t="shared" si="70"/>
        <v>285.8</v>
      </c>
    </row>
    <row r="643" spans="1:17" ht="24" thickTop="1" thickBot="1">
      <c r="A643" s="12" t="s">
        <v>557</v>
      </c>
      <c r="B643" s="166">
        <v>762.8</v>
      </c>
      <c r="C643" s="10" t="s">
        <v>553</v>
      </c>
      <c r="D643" s="10">
        <f>B643/28/5*7.5</f>
        <v>40.864285714285714</v>
      </c>
      <c r="E643" s="1">
        <v>0.6</v>
      </c>
      <c r="F643" s="95">
        <v>0.6</v>
      </c>
      <c r="G643" s="109">
        <f t="shared" si="71"/>
        <v>0.19999999999999996</v>
      </c>
      <c r="H643" s="109">
        <v>0.19999999999999996</v>
      </c>
      <c r="I643" s="109">
        <v>0.6</v>
      </c>
      <c r="J643" s="113">
        <f t="shared" si="72"/>
        <v>0.19999999999999996</v>
      </c>
      <c r="K643" s="12" t="s">
        <v>556</v>
      </c>
      <c r="L643" s="12" t="s">
        <v>521</v>
      </c>
      <c r="M643" s="129">
        <v>0.19999999999999996</v>
      </c>
      <c r="N643" s="142">
        <f t="shared" ref="N643:N706" si="73">B643*I643*1.12*1.1</f>
        <v>563.86176</v>
      </c>
      <c r="O643" s="128">
        <f t="shared" ref="O643:O706" si="74">B643*M643*1.12*1.1</f>
        <v>187.95391999999998</v>
      </c>
      <c r="P643" s="159">
        <f t="shared" ref="P643:P706" si="75">ROUND(N643, 1)</f>
        <v>563.9</v>
      </c>
      <c r="Q643" s="160">
        <f t="shared" ref="Q643:Q706" si="76">ROUND(O643, 1)</f>
        <v>188</v>
      </c>
    </row>
    <row r="644" spans="1:17" ht="24" thickTop="1" thickBot="1">
      <c r="A644" s="12" t="s">
        <v>557</v>
      </c>
      <c r="B644" s="166">
        <v>1159.9000000000001</v>
      </c>
      <c r="C644" s="10" t="s">
        <v>553</v>
      </c>
      <c r="D644" s="10">
        <f>B644/28/10*7.5</f>
        <v>31.068750000000001</v>
      </c>
      <c r="E644" s="1">
        <v>0.6</v>
      </c>
      <c r="F644" s="95">
        <v>0.6</v>
      </c>
      <c r="G644" s="109">
        <f t="shared" si="71"/>
        <v>0.19999999999999996</v>
      </c>
      <c r="H644" s="109">
        <v>0.19999999999999996</v>
      </c>
      <c r="I644" s="109">
        <v>0.6</v>
      </c>
      <c r="J644" s="113">
        <f t="shared" si="72"/>
        <v>0.19999999999999996</v>
      </c>
      <c r="K644" s="12" t="s">
        <v>556</v>
      </c>
      <c r="L644" s="12" t="s">
        <v>521</v>
      </c>
      <c r="M644" s="129">
        <v>0.19999999999999996</v>
      </c>
      <c r="N644" s="142">
        <f t="shared" si="73"/>
        <v>857.39808000000028</v>
      </c>
      <c r="O644" s="128">
        <f t="shared" si="74"/>
        <v>285.79935999999998</v>
      </c>
      <c r="P644" s="159">
        <f t="shared" si="75"/>
        <v>857.4</v>
      </c>
      <c r="Q644" s="160">
        <f t="shared" si="76"/>
        <v>285.8</v>
      </c>
    </row>
    <row r="645" spans="1:17" ht="24" thickTop="1" thickBot="1">
      <c r="A645" s="12" t="s">
        <v>558</v>
      </c>
      <c r="B645" s="166">
        <v>642.1</v>
      </c>
      <c r="C645" s="9" t="s">
        <v>559</v>
      </c>
      <c r="D645" s="10">
        <f>B645/28/1.5*9</f>
        <v>137.59285714285716</v>
      </c>
      <c r="E645" s="11">
        <v>0.75</v>
      </c>
      <c r="F645" s="27">
        <v>0.75</v>
      </c>
      <c r="G645" s="109">
        <f t="shared" si="71"/>
        <v>0.35</v>
      </c>
      <c r="H645" s="109">
        <v>0.35</v>
      </c>
      <c r="I645" s="109">
        <v>0.75</v>
      </c>
      <c r="J645" s="113">
        <f t="shared" si="72"/>
        <v>0.35</v>
      </c>
      <c r="K645" s="12" t="s">
        <v>560</v>
      </c>
      <c r="L645" s="12" t="s">
        <v>527</v>
      </c>
      <c r="M645" s="129">
        <v>0.35</v>
      </c>
      <c r="N645" s="142">
        <f t="shared" si="73"/>
        <v>593.3004000000002</v>
      </c>
      <c r="O645" s="128">
        <f t="shared" si="74"/>
        <v>276.87352000000004</v>
      </c>
      <c r="P645" s="159">
        <f t="shared" si="75"/>
        <v>593.29999999999995</v>
      </c>
      <c r="Q645" s="160">
        <f t="shared" si="76"/>
        <v>276.89999999999998</v>
      </c>
    </row>
    <row r="646" spans="1:17" ht="24" thickTop="1" thickBot="1">
      <c r="A646" s="12" t="s">
        <v>558</v>
      </c>
      <c r="B646" s="166">
        <v>923.3</v>
      </c>
      <c r="C646" s="9" t="s">
        <v>559</v>
      </c>
      <c r="D646" s="10">
        <f>B646/28/3*9</f>
        <v>98.925000000000011</v>
      </c>
      <c r="E646" s="11">
        <v>0.75</v>
      </c>
      <c r="F646" s="27">
        <v>0.75</v>
      </c>
      <c r="G646" s="109">
        <f t="shared" si="71"/>
        <v>0.35</v>
      </c>
      <c r="H646" s="109">
        <v>0.35</v>
      </c>
      <c r="I646" s="109">
        <v>0.75</v>
      </c>
      <c r="J646" s="113">
        <f t="shared" si="72"/>
        <v>0.35</v>
      </c>
      <c r="K646" s="12" t="s">
        <v>560</v>
      </c>
      <c r="L646" s="12" t="s">
        <v>527</v>
      </c>
      <c r="M646" s="129">
        <v>0.35</v>
      </c>
      <c r="N646" s="142">
        <f t="shared" si="73"/>
        <v>853.12920000000008</v>
      </c>
      <c r="O646" s="128">
        <f t="shared" si="74"/>
        <v>398.12696000000005</v>
      </c>
      <c r="P646" s="159">
        <f t="shared" si="75"/>
        <v>853.1</v>
      </c>
      <c r="Q646" s="160">
        <f t="shared" si="76"/>
        <v>398.1</v>
      </c>
    </row>
    <row r="647" spans="1:17" ht="24" thickTop="1" thickBot="1">
      <c r="A647" s="12" t="s">
        <v>558</v>
      </c>
      <c r="B647" s="166">
        <v>987.7</v>
      </c>
      <c r="C647" s="9" t="s">
        <v>559</v>
      </c>
      <c r="D647" s="10">
        <f>B647/28/4.5*9</f>
        <v>70.55</v>
      </c>
      <c r="E647" s="11">
        <v>0.75</v>
      </c>
      <c r="F647" s="27">
        <v>0.75</v>
      </c>
      <c r="G647" s="109">
        <f t="shared" si="71"/>
        <v>0.35</v>
      </c>
      <c r="H647" s="109">
        <v>0.35</v>
      </c>
      <c r="I647" s="109">
        <v>0.75</v>
      </c>
      <c r="J647" s="113">
        <f t="shared" si="72"/>
        <v>0.35</v>
      </c>
      <c r="K647" s="12" t="s">
        <v>560</v>
      </c>
      <c r="L647" s="12" t="s">
        <v>527</v>
      </c>
      <c r="M647" s="129">
        <v>0.35</v>
      </c>
      <c r="N647" s="142">
        <f t="shared" si="73"/>
        <v>912.63480000000038</v>
      </c>
      <c r="O647" s="128">
        <f t="shared" si="74"/>
        <v>425.89624000000003</v>
      </c>
      <c r="P647" s="159">
        <f t="shared" si="75"/>
        <v>912.6</v>
      </c>
      <c r="Q647" s="160">
        <f t="shared" si="76"/>
        <v>425.9</v>
      </c>
    </row>
    <row r="648" spans="1:17" ht="24" thickTop="1" thickBot="1">
      <c r="A648" s="12" t="s">
        <v>558</v>
      </c>
      <c r="B648" s="166">
        <v>987.7</v>
      </c>
      <c r="C648" s="9" t="s">
        <v>559</v>
      </c>
      <c r="D648" s="10">
        <f>B648/28/6*9</f>
        <v>52.912499999999994</v>
      </c>
      <c r="E648" s="11">
        <v>0.75</v>
      </c>
      <c r="F648" s="27">
        <v>0.75</v>
      </c>
      <c r="G648" s="109">
        <f t="shared" si="71"/>
        <v>0.35</v>
      </c>
      <c r="H648" s="109">
        <v>0.35</v>
      </c>
      <c r="I648" s="109">
        <v>0.75</v>
      </c>
      <c r="J648" s="113">
        <f t="shared" si="72"/>
        <v>0.35</v>
      </c>
      <c r="K648" s="12" t="s">
        <v>560</v>
      </c>
      <c r="L648" s="12" t="s">
        <v>527</v>
      </c>
      <c r="M648" s="129">
        <v>0.35</v>
      </c>
      <c r="N648" s="142">
        <f t="shared" si="73"/>
        <v>912.63480000000038</v>
      </c>
      <c r="O648" s="128">
        <f t="shared" si="74"/>
        <v>425.89624000000003</v>
      </c>
      <c r="P648" s="159">
        <f t="shared" si="75"/>
        <v>912.6</v>
      </c>
      <c r="Q648" s="160">
        <f t="shared" si="76"/>
        <v>425.9</v>
      </c>
    </row>
    <row r="649" spans="1:17" ht="24" thickTop="1" thickBot="1">
      <c r="A649" s="12" t="s">
        <v>561</v>
      </c>
      <c r="B649" s="166">
        <v>642.1</v>
      </c>
      <c r="C649" s="9" t="s">
        <v>559</v>
      </c>
      <c r="D649" s="10">
        <f>B649/28/1.5*9</f>
        <v>137.59285714285716</v>
      </c>
      <c r="E649" s="11">
        <v>0.75</v>
      </c>
      <c r="F649" s="27">
        <v>0.75</v>
      </c>
      <c r="G649" s="109">
        <f t="shared" si="71"/>
        <v>0.35</v>
      </c>
      <c r="H649" s="109">
        <v>0.35</v>
      </c>
      <c r="I649" s="109">
        <v>0.75</v>
      </c>
      <c r="J649" s="113">
        <f t="shared" si="72"/>
        <v>0.35</v>
      </c>
      <c r="K649" s="67" t="s">
        <v>562</v>
      </c>
      <c r="L649" s="67" t="s">
        <v>510</v>
      </c>
      <c r="M649" s="137">
        <v>0.35</v>
      </c>
      <c r="N649" s="142">
        <f t="shared" si="73"/>
        <v>593.3004000000002</v>
      </c>
      <c r="O649" s="128">
        <f t="shared" si="74"/>
        <v>276.87352000000004</v>
      </c>
      <c r="P649" s="159">
        <f t="shared" si="75"/>
        <v>593.29999999999995</v>
      </c>
      <c r="Q649" s="160">
        <f t="shared" si="76"/>
        <v>276.89999999999998</v>
      </c>
    </row>
    <row r="650" spans="1:17" ht="24" thickTop="1" thickBot="1">
      <c r="A650" s="12" t="s">
        <v>561</v>
      </c>
      <c r="B650" s="166">
        <v>923.3</v>
      </c>
      <c r="C650" s="9" t="s">
        <v>559</v>
      </c>
      <c r="D650" s="10">
        <f>B650/28/3*9</f>
        <v>98.925000000000011</v>
      </c>
      <c r="E650" s="11">
        <v>0.75</v>
      </c>
      <c r="F650" s="27">
        <v>0.75</v>
      </c>
      <c r="G650" s="109">
        <f t="shared" si="71"/>
        <v>0.35</v>
      </c>
      <c r="H650" s="109">
        <v>0.35</v>
      </c>
      <c r="I650" s="109">
        <v>0.75</v>
      </c>
      <c r="J650" s="113">
        <f t="shared" si="72"/>
        <v>0.35</v>
      </c>
      <c r="K650" s="67" t="s">
        <v>562</v>
      </c>
      <c r="L650" s="67" t="s">
        <v>510</v>
      </c>
      <c r="M650" s="137">
        <v>0.35</v>
      </c>
      <c r="N650" s="142">
        <f t="shared" si="73"/>
        <v>853.12920000000008</v>
      </c>
      <c r="O650" s="128">
        <f t="shared" si="74"/>
        <v>398.12696000000005</v>
      </c>
      <c r="P650" s="159">
        <f t="shared" si="75"/>
        <v>853.1</v>
      </c>
      <c r="Q650" s="160">
        <f t="shared" si="76"/>
        <v>398.1</v>
      </c>
    </row>
    <row r="651" spans="1:17" ht="24" thickTop="1" thickBot="1">
      <c r="A651" s="12" t="s">
        <v>561</v>
      </c>
      <c r="B651" s="166">
        <v>987.7</v>
      </c>
      <c r="C651" s="9" t="s">
        <v>559</v>
      </c>
      <c r="D651" s="10">
        <f>B651/28/4.5*9</f>
        <v>70.55</v>
      </c>
      <c r="E651" s="11">
        <v>0.75</v>
      </c>
      <c r="F651" s="27">
        <v>0.75</v>
      </c>
      <c r="G651" s="109">
        <f t="shared" si="71"/>
        <v>0.35</v>
      </c>
      <c r="H651" s="109">
        <v>0.35</v>
      </c>
      <c r="I651" s="109">
        <v>0.75</v>
      </c>
      <c r="J651" s="113">
        <f t="shared" si="72"/>
        <v>0.35</v>
      </c>
      <c r="K651" s="67" t="s">
        <v>562</v>
      </c>
      <c r="L651" s="67" t="s">
        <v>510</v>
      </c>
      <c r="M651" s="137">
        <v>0.35</v>
      </c>
      <c r="N651" s="142">
        <f t="shared" si="73"/>
        <v>912.63480000000038</v>
      </c>
      <c r="O651" s="128">
        <f t="shared" si="74"/>
        <v>425.89624000000003</v>
      </c>
      <c r="P651" s="159">
        <f t="shared" si="75"/>
        <v>912.6</v>
      </c>
      <c r="Q651" s="160">
        <f t="shared" si="76"/>
        <v>425.9</v>
      </c>
    </row>
    <row r="652" spans="1:17" ht="24" thickTop="1" thickBot="1">
      <c r="A652" s="12" t="s">
        <v>561</v>
      </c>
      <c r="B652" s="166">
        <v>987.7</v>
      </c>
      <c r="C652" s="9" t="s">
        <v>559</v>
      </c>
      <c r="D652" s="10">
        <f>B652/28/6*9</f>
        <v>52.912499999999994</v>
      </c>
      <c r="E652" s="11">
        <v>0.75</v>
      </c>
      <c r="F652" s="27">
        <v>0.75</v>
      </c>
      <c r="G652" s="109">
        <f t="shared" si="71"/>
        <v>0.35</v>
      </c>
      <c r="H652" s="109">
        <v>0.35</v>
      </c>
      <c r="I652" s="109">
        <v>0.75</v>
      </c>
      <c r="J652" s="113">
        <f t="shared" si="72"/>
        <v>0.35</v>
      </c>
      <c r="K652" s="67" t="s">
        <v>562</v>
      </c>
      <c r="L652" s="67" t="s">
        <v>510</v>
      </c>
      <c r="M652" s="137">
        <v>0.35</v>
      </c>
      <c r="N652" s="142">
        <f t="shared" si="73"/>
        <v>912.63480000000038</v>
      </c>
      <c r="O652" s="128">
        <f t="shared" si="74"/>
        <v>425.89624000000003</v>
      </c>
      <c r="P652" s="159">
        <f t="shared" si="75"/>
        <v>912.6</v>
      </c>
      <c r="Q652" s="160">
        <f t="shared" si="76"/>
        <v>425.9</v>
      </c>
    </row>
    <row r="653" spans="1:17" ht="24" thickTop="1" thickBot="1">
      <c r="A653" s="12" t="s">
        <v>558</v>
      </c>
      <c r="B653" s="166">
        <v>1948.5</v>
      </c>
      <c r="C653" s="9" t="s">
        <v>559</v>
      </c>
      <c r="D653" s="10">
        <f>B653/4.6/30*9</f>
        <v>127.07608695652176</v>
      </c>
      <c r="E653" s="11">
        <v>0.6</v>
      </c>
      <c r="F653" s="27">
        <v>0.6</v>
      </c>
      <c r="G653" s="109">
        <f t="shared" si="71"/>
        <v>0.19999999999999996</v>
      </c>
      <c r="H653" s="109">
        <v>0.19999999999999996</v>
      </c>
      <c r="I653" s="109">
        <v>0.6</v>
      </c>
      <c r="J653" s="113">
        <f t="shared" si="72"/>
        <v>0.19999999999999996</v>
      </c>
      <c r="K653" s="12" t="s">
        <v>563</v>
      </c>
      <c r="L653" s="12" t="s">
        <v>527</v>
      </c>
      <c r="M653" s="129">
        <v>0.19999999999999996</v>
      </c>
      <c r="N653" s="142">
        <f t="shared" si="73"/>
        <v>1440.3312000000001</v>
      </c>
      <c r="O653" s="128">
        <f t="shared" si="74"/>
        <v>480.11039999999997</v>
      </c>
      <c r="P653" s="159">
        <f t="shared" si="75"/>
        <v>1440.3</v>
      </c>
      <c r="Q653" s="160">
        <f t="shared" si="76"/>
        <v>480.1</v>
      </c>
    </row>
    <row r="654" spans="1:17" ht="24" thickTop="1" thickBot="1">
      <c r="A654" s="12" t="s">
        <v>558</v>
      </c>
      <c r="B654" s="166">
        <v>2703.1</v>
      </c>
      <c r="C654" s="9" t="s">
        <v>559</v>
      </c>
      <c r="D654" s="10">
        <f>B654/30/9.5*9</f>
        <v>85.361052631578929</v>
      </c>
      <c r="E654" s="11">
        <v>0.6</v>
      </c>
      <c r="F654" s="27">
        <v>0.6</v>
      </c>
      <c r="G654" s="109">
        <f t="shared" si="71"/>
        <v>0.19999999999999996</v>
      </c>
      <c r="H654" s="109">
        <v>0.19999999999999996</v>
      </c>
      <c r="I654" s="109">
        <v>0.6</v>
      </c>
      <c r="J654" s="113">
        <f t="shared" si="72"/>
        <v>0.19999999999999996</v>
      </c>
      <c r="K654" s="12" t="s">
        <v>563</v>
      </c>
      <c r="L654" s="12" t="s">
        <v>527</v>
      </c>
      <c r="M654" s="129">
        <v>0.19999999999999996</v>
      </c>
      <c r="N654" s="142">
        <f t="shared" si="73"/>
        <v>1998.1315200000004</v>
      </c>
      <c r="O654" s="128">
        <f t="shared" si="74"/>
        <v>666.04383999999993</v>
      </c>
      <c r="P654" s="159">
        <f t="shared" si="75"/>
        <v>1998.1</v>
      </c>
      <c r="Q654" s="160">
        <f t="shared" si="76"/>
        <v>666</v>
      </c>
    </row>
    <row r="655" spans="1:17" ht="24" thickTop="1" thickBot="1">
      <c r="A655" s="12" t="s">
        <v>558</v>
      </c>
      <c r="B655" s="166">
        <v>3458.8</v>
      </c>
      <c r="C655" s="9" t="s">
        <v>564</v>
      </c>
      <c r="D655" s="10">
        <f>B655/30/13.3*9.5</f>
        <v>82.352380952380955</v>
      </c>
      <c r="E655" s="11">
        <v>0.6</v>
      </c>
      <c r="F655" s="27">
        <v>0.6</v>
      </c>
      <c r="G655" s="109">
        <f t="shared" si="71"/>
        <v>0.19999999999999996</v>
      </c>
      <c r="H655" s="109">
        <v>0.19999999999999996</v>
      </c>
      <c r="I655" s="109">
        <v>0.6</v>
      </c>
      <c r="J655" s="113">
        <f t="shared" si="72"/>
        <v>0.19999999999999996</v>
      </c>
      <c r="K655" s="12" t="s">
        <v>563</v>
      </c>
      <c r="L655" s="12" t="s">
        <v>527</v>
      </c>
      <c r="M655" s="129">
        <v>0.19999999999999996</v>
      </c>
      <c r="N655" s="142">
        <f t="shared" si="73"/>
        <v>2556.7449600000004</v>
      </c>
      <c r="O655" s="128">
        <f t="shared" si="74"/>
        <v>852.24831999999992</v>
      </c>
      <c r="P655" s="159">
        <f t="shared" si="75"/>
        <v>2556.6999999999998</v>
      </c>
      <c r="Q655" s="160">
        <f t="shared" si="76"/>
        <v>852.2</v>
      </c>
    </row>
    <row r="656" spans="1:17" ht="24" thickTop="1" thickBot="1">
      <c r="A656" s="12" t="s">
        <v>565</v>
      </c>
      <c r="B656" s="166">
        <v>634.1</v>
      </c>
      <c r="C656" s="9" t="s">
        <v>7</v>
      </c>
      <c r="D656" s="10">
        <f>B656/28/10*20</f>
        <v>45.292857142857144</v>
      </c>
      <c r="E656" s="11">
        <v>0.75</v>
      </c>
      <c r="F656" s="27">
        <v>0.75</v>
      </c>
      <c r="G656" s="109">
        <f t="shared" si="71"/>
        <v>0.35</v>
      </c>
      <c r="H656" s="109">
        <v>0.35</v>
      </c>
      <c r="I656" s="109">
        <v>0.75</v>
      </c>
      <c r="J656" s="113">
        <f t="shared" si="72"/>
        <v>0.35</v>
      </c>
      <c r="K656" s="12" t="s">
        <v>556</v>
      </c>
      <c r="L656" s="56" t="s">
        <v>510</v>
      </c>
      <c r="M656" s="135">
        <v>0.35</v>
      </c>
      <c r="N656" s="142">
        <f t="shared" si="73"/>
        <v>585.90840000000014</v>
      </c>
      <c r="O656" s="128">
        <f t="shared" si="74"/>
        <v>273.42392000000001</v>
      </c>
      <c r="P656" s="159">
        <f t="shared" si="75"/>
        <v>585.9</v>
      </c>
      <c r="Q656" s="160">
        <f t="shared" si="76"/>
        <v>273.39999999999998</v>
      </c>
    </row>
    <row r="657" spans="1:17" ht="24" thickTop="1" thickBot="1">
      <c r="A657" s="12" t="s">
        <v>565</v>
      </c>
      <c r="B657" s="166">
        <v>1268.2</v>
      </c>
      <c r="C657" s="9" t="s">
        <v>7</v>
      </c>
      <c r="D657" s="10">
        <f>B657/28/20*20</f>
        <v>45.292857142857144</v>
      </c>
      <c r="E657" s="11">
        <v>0.75</v>
      </c>
      <c r="F657" s="27">
        <v>0.75</v>
      </c>
      <c r="G657" s="109">
        <f t="shared" si="71"/>
        <v>0.35</v>
      </c>
      <c r="H657" s="109">
        <v>0.35</v>
      </c>
      <c r="I657" s="109">
        <v>0.75</v>
      </c>
      <c r="J657" s="113">
        <f t="shared" si="72"/>
        <v>0.35</v>
      </c>
      <c r="K657" s="12" t="s">
        <v>556</v>
      </c>
      <c r="L657" s="56" t="s">
        <v>510</v>
      </c>
      <c r="M657" s="135">
        <v>0.35</v>
      </c>
      <c r="N657" s="142">
        <f t="shared" si="73"/>
        <v>1171.8168000000003</v>
      </c>
      <c r="O657" s="128">
        <f t="shared" si="74"/>
        <v>546.84784000000002</v>
      </c>
      <c r="P657" s="159">
        <f t="shared" si="75"/>
        <v>1171.8</v>
      </c>
      <c r="Q657" s="160">
        <f t="shared" si="76"/>
        <v>546.79999999999995</v>
      </c>
    </row>
    <row r="658" spans="1:17" ht="24" thickTop="1" thickBot="1">
      <c r="A658" s="12" t="s">
        <v>566</v>
      </c>
      <c r="B658" s="166">
        <v>634.1</v>
      </c>
      <c r="C658" s="9" t="s">
        <v>7</v>
      </c>
      <c r="D658" s="10">
        <f>B658/28/10*20</f>
        <v>45.292857142857144</v>
      </c>
      <c r="E658" s="11">
        <v>0.75</v>
      </c>
      <c r="F658" s="27">
        <v>0.75</v>
      </c>
      <c r="G658" s="109">
        <f t="shared" si="71"/>
        <v>0.35</v>
      </c>
      <c r="H658" s="109">
        <v>0.35</v>
      </c>
      <c r="I658" s="109">
        <v>0.75</v>
      </c>
      <c r="J658" s="113">
        <f t="shared" si="72"/>
        <v>0.35</v>
      </c>
      <c r="K658" s="12" t="s">
        <v>556</v>
      </c>
      <c r="L658" s="56" t="s">
        <v>510</v>
      </c>
      <c r="M658" s="135">
        <v>0.35</v>
      </c>
      <c r="N658" s="142">
        <f t="shared" si="73"/>
        <v>585.90840000000014</v>
      </c>
      <c r="O658" s="128">
        <f t="shared" si="74"/>
        <v>273.42392000000001</v>
      </c>
      <c r="P658" s="159">
        <f t="shared" si="75"/>
        <v>585.9</v>
      </c>
      <c r="Q658" s="160">
        <f t="shared" si="76"/>
        <v>273.39999999999998</v>
      </c>
    </row>
    <row r="659" spans="1:17" ht="24" thickTop="1" thickBot="1">
      <c r="A659" s="12" t="s">
        <v>566</v>
      </c>
      <c r="B659" s="166">
        <v>1268.2</v>
      </c>
      <c r="C659" s="9" t="s">
        <v>7</v>
      </c>
      <c r="D659" s="10">
        <f>B659/28/20*20</f>
        <v>45.292857142857144</v>
      </c>
      <c r="E659" s="11">
        <v>0.75</v>
      </c>
      <c r="F659" s="27">
        <v>0.75</v>
      </c>
      <c r="G659" s="109">
        <f t="shared" si="71"/>
        <v>0.35</v>
      </c>
      <c r="H659" s="109">
        <v>0.35</v>
      </c>
      <c r="I659" s="109">
        <v>0.75</v>
      </c>
      <c r="J659" s="113">
        <f t="shared" si="72"/>
        <v>0.35</v>
      </c>
      <c r="K659" s="12" t="s">
        <v>556</v>
      </c>
      <c r="L659" s="56" t="s">
        <v>510</v>
      </c>
      <c r="M659" s="135">
        <v>0.35</v>
      </c>
      <c r="N659" s="142">
        <f t="shared" si="73"/>
        <v>1171.8168000000003</v>
      </c>
      <c r="O659" s="128">
        <f t="shared" si="74"/>
        <v>546.84784000000002</v>
      </c>
      <c r="P659" s="159">
        <f t="shared" si="75"/>
        <v>1171.8</v>
      </c>
      <c r="Q659" s="160">
        <f t="shared" si="76"/>
        <v>546.79999999999995</v>
      </c>
    </row>
    <row r="660" spans="1:17" ht="24" thickTop="1" thickBot="1">
      <c r="A660" s="12" t="s">
        <v>567</v>
      </c>
      <c r="B660" s="166">
        <v>1268.2</v>
      </c>
      <c r="C660" s="10" t="s">
        <v>7</v>
      </c>
      <c r="D660" s="10">
        <f>B660/28/20*20</f>
        <v>45.292857142857144</v>
      </c>
      <c r="E660" s="1">
        <v>0.75</v>
      </c>
      <c r="F660" s="95">
        <v>0.75</v>
      </c>
      <c r="G660" s="109">
        <f t="shared" si="71"/>
        <v>0.35</v>
      </c>
      <c r="H660" s="109">
        <v>0.35</v>
      </c>
      <c r="I660" s="109">
        <v>0.75</v>
      </c>
      <c r="J660" s="113">
        <f t="shared" si="72"/>
        <v>0.35</v>
      </c>
      <c r="K660" s="12" t="s">
        <v>556</v>
      </c>
      <c r="L660" s="56" t="s">
        <v>510</v>
      </c>
      <c r="M660" s="135">
        <v>0.35</v>
      </c>
      <c r="N660" s="142">
        <f t="shared" si="73"/>
        <v>1171.8168000000003</v>
      </c>
      <c r="O660" s="128">
        <f t="shared" si="74"/>
        <v>546.84784000000002</v>
      </c>
      <c r="P660" s="159">
        <f t="shared" si="75"/>
        <v>1171.8</v>
      </c>
      <c r="Q660" s="160">
        <f t="shared" si="76"/>
        <v>546.79999999999995</v>
      </c>
    </row>
    <row r="661" spans="1:17" ht="24" thickTop="1" thickBot="1">
      <c r="A661" s="12" t="s">
        <v>568</v>
      </c>
      <c r="B661" s="166">
        <v>634.1</v>
      </c>
      <c r="C661" s="90" t="s">
        <v>7</v>
      </c>
      <c r="D661" s="10">
        <f>B661/28/10*20</f>
        <v>45.292857142857144</v>
      </c>
      <c r="E661" s="3">
        <v>0.75</v>
      </c>
      <c r="F661" s="98">
        <v>0.75</v>
      </c>
      <c r="G661" s="109">
        <f t="shared" si="71"/>
        <v>0.35</v>
      </c>
      <c r="H661" s="109">
        <v>0.35</v>
      </c>
      <c r="I661" s="109">
        <v>0.75</v>
      </c>
      <c r="J661" s="113">
        <f t="shared" si="72"/>
        <v>0.35</v>
      </c>
      <c r="K661" s="12" t="s">
        <v>556</v>
      </c>
      <c r="L661" s="56" t="s">
        <v>510</v>
      </c>
      <c r="M661" s="135">
        <v>0.35</v>
      </c>
      <c r="N661" s="142">
        <f t="shared" si="73"/>
        <v>585.90840000000014</v>
      </c>
      <c r="O661" s="128">
        <f t="shared" si="74"/>
        <v>273.42392000000001</v>
      </c>
      <c r="P661" s="159">
        <f t="shared" si="75"/>
        <v>585.9</v>
      </c>
      <c r="Q661" s="160">
        <f t="shared" si="76"/>
        <v>273.39999999999998</v>
      </c>
    </row>
    <row r="662" spans="1:17" ht="24" thickTop="1" thickBot="1">
      <c r="A662" s="12" t="s">
        <v>568</v>
      </c>
      <c r="B662" s="166">
        <v>1268.2</v>
      </c>
      <c r="C662" s="90" t="s">
        <v>7</v>
      </c>
      <c r="D662" s="10">
        <f>B662/28/20*20</f>
        <v>45.292857142857144</v>
      </c>
      <c r="E662" s="3">
        <v>0.75</v>
      </c>
      <c r="F662" s="98">
        <v>0.75</v>
      </c>
      <c r="G662" s="109">
        <f t="shared" si="71"/>
        <v>0.35</v>
      </c>
      <c r="H662" s="109">
        <v>0.35</v>
      </c>
      <c r="I662" s="109">
        <v>0.75</v>
      </c>
      <c r="J662" s="113">
        <f t="shared" si="72"/>
        <v>0.35</v>
      </c>
      <c r="K662" s="12" t="s">
        <v>556</v>
      </c>
      <c r="L662" s="56" t="s">
        <v>510</v>
      </c>
      <c r="M662" s="135">
        <v>0.35</v>
      </c>
      <c r="N662" s="142">
        <f t="shared" si="73"/>
        <v>1171.8168000000003</v>
      </c>
      <c r="O662" s="128">
        <f t="shared" si="74"/>
        <v>546.84784000000002</v>
      </c>
      <c r="P662" s="159">
        <f t="shared" si="75"/>
        <v>1171.8</v>
      </c>
      <c r="Q662" s="160">
        <f t="shared" si="76"/>
        <v>546.79999999999995</v>
      </c>
    </row>
    <row r="663" spans="1:17" ht="24" thickTop="1" thickBot="1">
      <c r="A663" s="73" t="s">
        <v>569</v>
      </c>
      <c r="B663" s="166">
        <v>1121.5999999999999</v>
      </c>
      <c r="C663" s="74" t="s">
        <v>39</v>
      </c>
      <c r="D663" s="10">
        <f>B663/84/333*2000</f>
        <v>80.194480194480178</v>
      </c>
      <c r="E663" s="1">
        <v>0.9</v>
      </c>
      <c r="F663" s="95">
        <v>0.9</v>
      </c>
      <c r="G663" s="109">
        <f t="shared" si="71"/>
        <v>0.5</v>
      </c>
      <c r="H663" s="109">
        <v>0.5</v>
      </c>
      <c r="I663" s="109">
        <v>0.9</v>
      </c>
      <c r="J663" s="113">
        <f t="shared" si="72"/>
        <v>0.5</v>
      </c>
      <c r="K663" s="12" t="s">
        <v>570</v>
      </c>
      <c r="L663" s="56" t="s">
        <v>571</v>
      </c>
      <c r="M663" s="135">
        <v>0.5</v>
      </c>
      <c r="N663" s="142">
        <f t="shared" si="73"/>
        <v>1243.6300800000004</v>
      </c>
      <c r="O663" s="128">
        <f t="shared" si="74"/>
        <v>690.90560000000005</v>
      </c>
      <c r="P663" s="159">
        <f t="shared" si="75"/>
        <v>1243.5999999999999</v>
      </c>
      <c r="Q663" s="160">
        <f t="shared" si="76"/>
        <v>690.9</v>
      </c>
    </row>
    <row r="664" spans="1:17" ht="24" thickTop="1" thickBot="1">
      <c r="A664" s="12" t="s">
        <v>727</v>
      </c>
      <c r="B664" s="166">
        <v>3394.8</v>
      </c>
      <c r="C664" s="9" t="s">
        <v>112</v>
      </c>
      <c r="D664" s="10">
        <f>B664/28/50*50</f>
        <v>121.24285714285715</v>
      </c>
      <c r="E664" s="11">
        <v>0.75</v>
      </c>
      <c r="F664" s="27">
        <v>0.75</v>
      </c>
      <c r="G664" s="109">
        <f t="shared" si="71"/>
        <v>0.35</v>
      </c>
      <c r="H664" s="109">
        <v>0.35</v>
      </c>
      <c r="I664" s="109">
        <v>0.75</v>
      </c>
      <c r="J664" s="113">
        <f t="shared" si="72"/>
        <v>0.35</v>
      </c>
      <c r="K664" s="51" t="s">
        <v>572</v>
      </c>
      <c r="L664" s="51" t="s">
        <v>573</v>
      </c>
      <c r="M664" s="136">
        <v>0.35</v>
      </c>
      <c r="N664" s="142">
        <f t="shared" si="73"/>
        <v>3136.7952000000009</v>
      </c>
      <c r="O664" s="128">
        <f t="shared" si="74"/>
        <v>1463.8377600000003</v>
      </c>
      <c r="P664" s="159">
        <f t="shared" si="75"/>
        <v>3136.8</v>
      </c>
      <c r="Q664" s="160">
        <f t="shared" si="76"/>
        <v>1463.8</v>
      </c>
    </row>
    <row r="665" spans="1:17" ht="147.75" thickTop="1" thickBot="1">
      <c r="A665" s="12" t="s">
        <v>574</v>
      </c>
      <c r="B665" s="166">
        <v>308.39999999999998</v>
      </c>
      <c r="C665" s="9" t="s">
        <v>575</v>
      </c>
      <c r="D665" s="10">
        <f>B665/7/2*8</f>
        <v>176.22857142857143</v>
      </c>
      <c r="E665" s="1">
        <v>0.5</v>
      </c>
      <c r="F665" s="95">
        <v>0.5</v>
      </c>
      <c r="G665" s="109">
        <f t="shared" si="71"/>
        <v>9.9999999999999978E-2</v>
      </c>
      <c r="H665" s="109">
        <v>9.9999999999999978E-2</v>
      </c>
      <c r="I665" s="109">
        <v>0.5</v>
      </c>
      <c r="J665" s="113">
        <f t="shared" si="72"/>
        <v>9.9999999999999978E-2</v>
      </c>
      <c r="K665" s="12" t="s">
        <v>576</v>
      </c>
      <c r="L665" s="12" t="s">
        <v>577</v>
      </c>
      <c r="M665" s="129">
        <v>9.9999999999999978E-2</v>
      </c>
      <c r="N665" s="142">
        <f t="shared" si="73"/>
        <v>189.97440000000003</v>
      </c>
      <c r="O665" s="128">
        <f t="shared" si="74"/>
        <v>37.994879999999995</v>
      </c>
      <c r="P665" s="159">
        <f t="shared" si="75"/>
        <v>190</v>
      </c>
      <c r="Q665" s="160">
        <f t="shared" si="76"/>
        <v>38</v>
      </c>
    </row>
    <row r="666" spans="1:17" ht="147.75" thickTop="1" thickBot="1">
      <c r="A666" s="12" t="s">
        <v>574</v>
      </c>
      <c r="B666" s="167">
        <v>1033.5999999999999</v>
      </c>
      <c r="C666" s="9" t="s">
        <v>575</v>
      </c>
      <c r="D666" s="10">
        <f>B666/7/8*8</f>
        <v>147.65714285714284</v>
      </c>
      <c r="E666" s="1">
        <v>0.5</v>
      </c>
      <c r="F666" s="95">
        <v>0.5</v>
      </c>
      <c r="G666" s="109">
        <f t="shared" si="71"/>
        <v>9.9999999999999978E-2</v>
      </c>
      <c r="H666" s="109">
        <v>9.9999999999999978E-2</v>
      </c>
      <c r="I666" s="109">
        <v>0.5</v>
      </c>
      <c r="J666" s="113">
        <f t="shared" si="72"/>
        <v>9.9999999999999978E-2</v>
      </c>
      <c r="K666" s="12" t="s">
        <v>576</v>
      </c>
      <c r="L666" s="12" t="s">
        <v>577</v>
      </c>
      <c r="M666" s="129">
        <v>9.9999999999999978E-2</v>
      </c>
      <c r="N666" s="142">
        <f t="shared" si="73"/>
        <v>636.69760000000008</v>
      </c>
      <c r="O666" s="128">
        <f t="shared" si="74"/>
        <v>127.33951999999999</v>
      </c>
      <c r="P666" s="159">
        <f t="shared" si="75"/>
        <v>636.70000000000005</v>
      </c>
      <c r="Q666" s="160">
        <f t="shared" si="76"/>
        <v>127.3</v>
      </c>
    </row>
    <row r="667" spans="1:17" ht="147.75" thickTop="1" thickBot="1">
      <c r="A667" s="12" t="s">
        <v>578</v>
      </c>
      <c r="B667" s="166">
        <v>308.39999999999998</v>
      </c>
      <c r="C667" s="10" t="s">
        <v>575</v>
      </c>
      <c r="D667" s="10">
        <f>B667/7/2*8</f>
        <v>176.22857142857143</v>
      </c>
      <c r="E667" s="3">
        <v>0.5</v>
      </c>
      <c r="F667" s="98">
        <v>0.5</v>
      </c>
      <c r="G667" s="109">
        <f t="shared" si="71"/>
        <v>9.9999999999999978E-2</v>
      </c>
      <c r="H667" s="109">
        <v>9.9999999999999978E-2</v>
      </c>
      <c r="I667" s="109">
        <v>0.5</v>
      </c>
      <c r="J667" s="113">
        <f t="shared" si="72"/>
        <v>9.9999999999999978E-2</v>
      </c>
      <c r="K667" s="12" t="s">
        <v>576</v>
      </c>
      <c r="L667" s="12" t="s">
        <v>577</v>
      </c>
      <c r="M667" s="129">
        <v>9.9999999999999978E-2</v>
      </c>
      <c r="N667" s="142">
        <f t="shared" si="73"/>
        <v>189.97440000000003</v>
      </c>
      <c r="O667" s="128">
        <f t="shared" si="74"/>
        <v>37.994879999999995</v>
      </c>
      <c r="P667" s="159">
        <f t="shared" si="75"/>
        <v>190</v>
      </c>
      <c r="Q667" s="160">
        <f t="shared" si="76"/>
        <v>38</v>
      </c>
    </row>
    <row r="668" spans="1:17" ht="147.75" thickTop="1" thickBot="1">
      <c r="A668" s="12" t="s">
        <v>578</v>
      </c>
      <c r="B668" s="167">
        <v>1033.5999999999999</v>
      </c>
      <c r="C668" s="10" t="s">
        <v>575</v>
      </c>
      <c r="D668" s="10">
        <f>B668/7/8*8</f>
        <v>147.65714285714284</v>
      </c>
      <c r="E668" s="3">
        <v>0.5</v>
      </c>
      <c r="F668" s="98">
        <v>0.5</v>
      </c>
      <c r="G668" s="109">
        <f t="shared" si="71"/>
        <v>9.9999999999999978E-2</v>
      </c>
      <c r="H668" s="109">
        <v>9.9999999999999978E-2</v>
      </c>
      <c r="I668" s="109">
        <v>0.5</v>
      </c>
      <c r="J668" s="113">
        <f t="shared" si="72"/>
        <v>9.9999999999999978E-2</v>
      </c>
      <c r="K668" s="12" t="s">
        <v>576</v>
      </c>
      <c r="L668" s="12" t="s">
        <v>577</v>
      </c>
      <c r="M668" s="129">
        <v>9.9999999999999978E-2</v>
      </c>
      <c r="N668" s="142">
        <f t="shared" si="73"/>
        <v>636.69760000000008</v>
      </c>
      <c r="O668" s="128">
        <f t="shared" si="74"/>
        <v>127.33951999999999</v>
      </c>
      <c r="P668" s="159">
        <f t="shared" si="75"/>
        <v>636.70000000000005</v>
      </c>
      <c r="Q668" s="160">
        <f t="shared" si="76"/>
        <v>127.3</v>
      </c>
    </row>
    <row r="669" spans="1:17" ht="147.75" thickTop="1" thickBot="1">
      <c r="A669" s="15" t="s">
        <v>579</v>
      </c>
      <c r="B669" s="166">
        <v>308.39999999999998</v>
      </c>
      <c r="C669" s="9" t="s">
        <v>575</v>
      </c>
      <c r="D669" s="10">
        <f>B669/7/2*8</f>
        <v>176.22857142857143</v>
      </c>
      <c r="E669" s="3">
        <v>0.5</v>
      </c>
      <c r="F669" s="98">
        <v>0.5</v>
      </c>
      <c r="G669" s="109">
        <f t="shared" si="71"/>
        <v>9.9999999999999978E-2</v>
      </c>
      <c r="H669" s="109">
        <v>9.9999999999999978E-2</v>
      </c>
      <c r="I669" s="109">
        <v>0.5</v>
      </c>
      <c r="J669" s="113">
        <f t="shared" si="72"/>
        <v>9.9999999999999978E-2</v>
      </c>
      <c r="K669" s="12" t="s">
        <v>576</v>
      </c>
      <c r="L669" s="12" t="s">
        <v>577</v>
      </c>
      <c r="M669" s="129">
        <v>9.9999999999999978E-2</v>
      </c>
      <c r="N669" s="142">
        <f t="shared" si="73"/>
        <v>189.97440000000003</v>
      </c>
      <c r="O669" s="128">
        <f t="shared" si="74"/>
        <v>37.994879999999995</v>
      </c>
      <c r="P669" s="159">
        <f t="shared" si="75"/>
        <v>190</v>
      </c>
      <c r="Q669" s="160">
        <f t="shared" si="76"/>
        <v>38</v>
      </c>
    </row>
    <row r="670" spans="1:17" ht="147.75" thickTop="1" thickBot="1">
      <c r="A670" s="15" t="s">
        <v>579</v>
      </c>
      <c r="B670" s="167">
        <v>1033.5999999999999</v>
      </c>
      <c r="C670" s="9" t="s">
        <v>575</v>
      </c>
      <c r="D670" s="10">
        <f>B670/7/8*8</f>
        <v>147.65714285714284</v>
      </c>
      <c r="E670" s="3">
        <v>0.5</v>
      </c>
      <c r="F670" s="98">
        <v>0.5</v>
      </c>
      <c r="G670" s="109">
        <f t="shared" si="71"/>
        <v>9.9999999999999978E-2</v>
      </c>
      <c r="H670" s="109">
        <v>9.9999999999999978E-2</v>
      </c>
      <c r="I670" s="109">
        <v>0.5</v>
      </c>
      <c r="J670" s="113">
        <f t="shared" si="72"/>
        <v>9.9999999999999978E-2</v>
      </c>
      <c r="K670" s="12" t="s">
        <v>576</v>
      </c>
      <c r="L670" s="12" t="s">
        <v>577</v>
      </c>
      <c r="M670" s="129">
        <v>9.9999999999999978E-2</v>
      </c>
      <c r="N670" s="142">
        <f t="shared" si="73"/>
        <v>636.69760000000008</v>
      </c>
      <c r="O670" s="128">
        <f t="shared" si="74"/>
        <v>127.33951999999999</v>
      </c>
      <c r="P670" s="159">
        <f t="shared" si="75"/>
        <v>636.70000000000005</v>
      </c>
      <c r="Q670" s="160">
        <f t="shared" si="76"/>
        <v>127.3</v>
      </c>
    </row>
    <row r="671" spans="1:17" ht="147.75" thickTop="1" thickBot="1">
      <c r="A671" s="12" t="s">
        <v>580</v>
      </c>
      <c r="B671" s="167">
        <v>348.6</v>
      </c>
      <c r="C671" s="9" t="s">
        <v>575</v>
      </c>
      <c r="D671" s="27">
        <f>B671/7/2*8</f>
        <v>199.20000000000002</v>
      </c>
      <c r="E671" s="11">
        <v>0.45</v>
      </c>
      <c r="F671" s="27">
        <v>0.45</v>
      </c>
      <c r="G671" s="109">
        <f t="shared" si="71"/>
        <v>0.1</v>
      </c>
      <c r="H671" s="109">
        <v>0.1</v>
      </c>
      <c r="I671" s="109">
        <v>0.45</v>
      </c>
      <c r="J671" s="113">
        <f t="shared" si="72"/>
        <v>0.1</v>
      </c>
      <c r="K671" s="12" t="s">
        <v>581</v>
      </c>
      <c r="L671" s="12" t="s">
        <v>577</v>
      </c>
      <c r="M671" s="129">
        <v>0.1</v>
      </c>
      <c r="N671" s="142">
        <f t="shared" si="73"/>
        <v>193.26384000000004</v>
      </c>
      <c r="O671" s="128">
        <f t="shared" si="74"/>
        <v>42.947520000000019</v>
      </c>
      <c r="P671" s="159">
        <f t="shared" si="75"/>
        <v>193.3</v>
      </c>
      <c r="Q671" s="160">
        <f t="shared" si="76"/>
        <v>42.9</v>
      </c>
    </row>
    <row r="672" spans="1:17" ht="147.75" thickTop="1" thickBot="1">
      <c r="A672" s="12" t="s">
        <v>580</v>
      </c>
      <c r="B672" s="167">
        <v>1247.2</v>
      </c>
      <c r="C672" s="9" t="s">
        <v>575</v>
      </c>
      <c r="D672" s="27">
        <f>B672/7/8*8</f>
        <v>178.17142857142858</v>
      </c>
      <c r="E672" s="11">
        <v>0.45</v>
      </c>
      <c r="F672" s="27">
        <v>0.45</v>
      </c>
      <c r="G672" s="109">
        <f t="shared" si="71"/>
        <v>0.1</v>
      </c>
      <c r="H672" s="109">
        <v>0.1</v>
      </c>
      <c r="I672" s="109">
        <v>0.45</v>
      </c>
      <c r="J672" s="113">
        <f t="shared" si="72"/>
        <v>0.1</v>
      </c>
      <c r="K672" s="12" t="s">
        <v>581</v>
      </c>
      <c r="L672" s="12" t="s">
        <v>577</v>
      </c>
      <c r="M672" s="129">
        <v>0.1</v>
      </c>
      <c r="N672" s="142">
        <f t="shared" si="73"/>
        <v>691.44768000000022</v>
      </c>
      <c r="O672" s="128">
        <f t="shared" si="74"/>
        <v>153.65504000000004</v>
      </c>
      <c r="P672" s="159">
        <f t="shared" si="75"/>
        <v>691.4</v>
      </c>
      <c r="Q672" s="160">
        <f t="shared" si="76"/>
        <v>153.69999999999999</v>
      </c>
    </row>
    <row r="673" spans="1:17" thickTop="1" thickBot="1">
      <c r="A673" s="12" t="s">
        <v>582</v>
      </c>
      <c r="B673" s="166">
        <v>379.8</v>
      </c>
      <c r="C673" s="10" t="s">
        <v>292</v>
      </c>
      <c r="D673" s="10">
        <f>B673/200/50*400</f>
        <v>15.192</v>
      </c>
      <c r="E673" s="11">
        <v>0.35</v>
      </c>
      <c r="F673" s="27">
        <v>0.35</v>
      </c>
      <c r="G673" s="109">
        <f t="shared" si="71"/>
        <v>0.1</v>
      </c>
      <c r="H673" s="109">
        <v>0.1</v>
      </c>
      <c r="I673" s="109">
        <v>0.35</v>
      </c>
      <c r="J673" s="113">
        <f t="shared" si="72"/>
        <v>0.1</v>
      </c>
      <c r="K673" s="12"/>
      <c r="L673" s="12"/>
      <c r="M673" s="129">
        <v>0.1</v>
      </c>
      <c r="N673" s="142">
        <f t="shared" si="73"/>
        <v>163.76976000000005</v>
      </c>
      <c r="O673" s="128">
        <f t="shared" si="74"/>
        <v>46.791360000000019</v>
      </c>
      <c r="P673" s="159">
        <f t="shared" si="75"/>
        <v>163.80000000000001</v>
      </c>
      <c r="Q673" s="160">
        <f t="shared" si="76"/>
        <v>46.8</v>
      </c>
    </row>
    <row r="674" spans="1:17" ht="57.75" thickTop="1" thickBot="1">
      <c r="A674" s="12" t="s">
        <v>583</v>
      </c>
      <c r="B674" s="166">
        <v>1020.5</v>
      </c>
      <c r="C674" s="10" t="s">
        <v>584</v>
      </c>
      <c r="D674" s="10">
        <f>B674/120/25*100</f>
        <v>34.016666666666666</v>
      </c>
      <c r="E674" s="11">
        <v>0.35</v>
      </c>
      <c r="F674" s="27">
        <v>0.35</v>
      </c>
      <c r="G674" s="109">
        <f t="shared" si="71"/>
        <v>0.1</v>
      </c>
      <c r="H674" s="109">
        <v>0.1</v>
      </c>
      <c r="I674" s="109">
        <v>0.35</v>
      </c>
      <c r="J674" s="113">
        <f t="shared" si="72"/>
        <v>0.1</v>
      </c>
      <c r="K674" s="12" t="s">
        <v>585</v>
      </c>
      <c r="L674" s="12" t="s">
        <v>586</v>
      </c>
      <c r="M674" s="129">
        <v>0.1</v>
      </c>
      <c r="N674" s="142">
        <f t="shared" si="73"/>
        <v>440.03960000000006</v>
      </c>
      <c r="O674" s="128">
        <f t="shared" si="74"/>
        <v>125.72560000000003</v>
      </c>
      <c r="P674" s="159">
        <f t="shared" si="75"/>
        <v>440</v>
      </c>
      <c r="Q674" s="160">
        <f t="shared" si="76"/>
        <v>125.7</v>
      </c>
    </row>
    <row r="675" spans="1:17" ht="57.75" thickTop="1" thickBot="1">
      <c r="A675" s="12" t="s">
        <v>587</v>
      </c>
      <c r="B675" s="166">
        <v>1113.4000000000001</v>
      </c>
      <c r="C675" s="10" t="s">
        <v>588</v>
      </c>
      <c r="D675" s="10">
        <f>B675/60/6*24</f>
        <v>74.226666666666674</v>
      </c>
      <c r="E675" s="11">
        <v>0.35</v>
      </c>
      <c r="F675" s="27">
        <v>0.35</v>
      </c>
      <c r="G675" s="109">
        <f t="shared" si="71"/>
        <v>0.1</v>
      </c>
      <c r="H675" s="109">
        <v>0.1</v>
      </c>
      <c r="I675" s="109">
        <v>0.35</v>
      </c>
      <c r="J675" s="113">
        <f t="shared" si="72"/>
        <v>0.1</v>
      </c>
      <c r="K675" s="12" t="s">
        <v>585</v>
      </c>
      <c r="L675" s="12" t="s">
        <v>586</v>
      </c>
      <c r="M675" s="129">
        <v>0.1</v>
      </c>
      <c r="N675" s="142">
        <f t="shared" si="73"/>
        <v>480.09808000000004</v>
      </c>
      <c r="O675" s="128">
        <f t="shared" si="74"/>
        <v>137.17088000000004</v>
      </c>
      <c r="P675" s="159">
        <f t="shared" si="75"/>
        <v>480.1</v>
      </c>
      <c r="Q675" s="160">
        <f t="shared" si="76"/>
        <v>137.19999999999999</v>
      </c>
    </row>
    <row r="676" spans="1:17" ht="57.75" thickTop="1" thickBot="1">
      <c r="A676" s="12" t="s">
        <v>587</v>
      </c>
      <c r="B676" s="166">
        <v>1740.3000000000002</v>
      </c>
      <c r="C676" s="10" t="s">
        <v>588</v>
      </c>
      <c r="D676" s="10">
        <f>B676/60/12*24</f>
        <v>58.010000000000005</v>
      </c>
      <c r="E676" s="11">
        <v>0.35</v>
      </c>
      <c r="F676" s="27">
        <v>0.35</v>
      </c>
      <c r="G676" s="109">
        <f t="shared" si="71"/>
        <v>0.1</v>
      </c>
      <c r="H676" s="109">
        <v>0.1</v>
      </c>
      <c r="I676" s="109">
        <v>0.35</v>
      </c>
      <c r="J676" s="113">
        <f t="shared" si="72"/>
        <v>0.1</v>
      </c>
      <c r="K676" s="12" t="s">
        <v>585</v>
      </c>
      <c r="L676" s="12" t="s">
        <v>586</v>
      </c>
      <c r="M676" s="129">
        <v>0.1</v>
      </c>
      <c r="N676" s="142">
        <f t="shared" si="73"/>
        <v>750.41736000000014</v>
      </c>
      <c r="O676" s="128">
        <f t="shared" si="74"/>
        <v>214.40496000000007</v>
      </c>
      <c r="P676" s="159">
        <f t="shared" si="75"/>
        <v>750.4</v>
      </c>
      <c r="Q676" s="160">
        <f t="shared" si="76"/>
        <v>214.4</v>
      </c>
    </row>
    <row r="677" spans="1:17" ht="35.25" thickTop="1" thickBot="1">
      <c r="A677" s="56" t="s">
        <v>589</v>
      </c>
      <c r="B677" s="166">
        <v>2134.9</v>
      </c>
      <c r="C677" s="10" t="s">
        <v>590</v>
      </c>
      <c r="D677" s="10">
        <f>+B677/30/150*150</f>
        <v>71.163333333333341</v>
      </c>
      <c r="E677" s="11">
        <v>0.35</v>
      </c>
      <c r="F677" s="27">
        <v>0.35</v>
      </c>
      <c r="G677" s="109">
        <f t="shared" si="71"/>
        <v>0.1</v>
      </c>
      <c r="H677" s="109">
        <v>0.1</v>
      </c>
      <c r="I677" s="109">
        <v>0.35</v>
      </c>
      <c r="J677" s="113">
        <f t="shared" si="72"/>
        <v>0.1</v>
      </c>
      <c r="K677" s="12" t="s">
        <v>591</v>
      </c>
      <c r="L677" s="12" t="s">
        <v>592</v>
      </c>
      <c r="M677" s="129">
        <v>0.1</v>
      </c>
      <c r="N677" s="142">
        <f t="shared" si="73"/>
        <v>920.56888000000026</v>
      </c>
      <c r="O677" s="128">
        <f t="shared" si="74"/>
        <v>263.01968000000005</v>
      </c>
      <c r="P677" s="159">
        <f t="shared" si="75"/>
        <v>920.6</v>
      </c>
      <c r="Q677" s="160">
        <f t="shared" si="76"/>
        <v>263</v>
      </c>
    </row>
    <row r="678" spans="1:17" ht="46.5" thickTop="1" thickBot="1">
      <c r="A678" s="12" t="s">
        <v>593</v>
      </c>
      <c r="B678" s="166">
        <v>1520.8</v>
      </c>
      <c r="C678" s="10" t="s">
        <v>594</v>
      </c>
      <c r="D678" s="10">
        <f t="shared" ref="D678:D685" si="77">B678/60*2</f>
        <v>50.693333333333335</v>
      </c>
      <c r="E678" s="11">
        <v>0.35</v>
      </c>
      <c r="F678" s="27">
        <v>0.35</v>
      </c>
      <c r="G678" s="109">
        <f t="shared" si="71"/>
        <v>0.1</v>
      </c>
      <c r="H678" s="109">
        <v>0.1</v>
      </c>
      <c r="I678" s="109">
        <v>0.35</v>
      </c>
      <c r="J678" s="113">
        <f t="shared" si="72"/>
        <v>0.1</v>
      </c>
      <c r="K678" s="12" t="s">
        <v>595</v>
      </c>
      <c r="L678" s="12" t="s">
        <v>596</v>
      </c>
      <c r="M678" s="129">
        <v>0.1</v>
      </c>
      <c r="N678" s="142">
        <f t="shared" si="73"/>
        <v>655.76895999999999</v>
      </c>
      <c r="O678" s="128">
        <f t="shared" si="74"/>
        <v>187.36256000000006</v>
      </c>
      <c r="P678" s="159">
        <f t="shared" si="75"/>
        <v>655.8</v>
      </c>
      <c r="Q678" s="160">
        <f t="shared" si="76"/>
        <v>187.4</v>
      </c>
    </row>
    <row r="679" spans="1:17" ht="46.5" thickTop="1" thickBot="1">
      <c r="A679" s="12" t="s">
        <v>593</v>
      </c>
      <c r="B679" s="166">
        <v>2076.1999999999998</v>
      </c>
      <c r="C679" s="10" t="s">
        <v>594</v>
      </c>
      <c r="D679" s="10">
        <f t="shared" si="77"/>
        <v>69.206666666666663</v>
      </c>
      <c r="E679" s="11">
        <v>0.35</v>
      </c>
      <c r="F679" s="27">
        <v>0.35</v>
      </c>
      <c r="G679" s="109">
        <f t="shared" si="71"/>
        <v>0.1</v>
      </c>
      <c r="H679" s="109">
        <v>0.1</v>
      </c>
      <c r="I679" s="109">
        <v>0.35</v>
      </c>
      <c r="J679" s="113">
        <f t="shared" si="72"/>
        <v>0.1</v>
      </c>
      <c r="K679" s="12" t="s">
        <v>595</v>
      </c>
      <c r="L679" s="12" t="s">
        <v>596</v>
      </c>
      <c r="M679" s="129">
        <v>0.1</v>
      </c>
      <c r="N679" s="142">
        <f t="shared" si="73"/>
        <v>895.25743999999997</v>
      </c>
      <c r="O679" s="128">
        <f t="shared" si="74"/>
        <v>255.78784000000005</v>
      </c>
      <c r="P679" s="159">
        <f t="shared" si="75"/>
        <v>895.3</v>
      </c>
      <c r="Q679" s="160">
        <f t="shared" si="76"/>
        <v>255.8</v>
      </c>
    </row>
    <row r="680" spans="1:17" ht="46.5" thickTop="1" thickBot="1">
      <c r="A680" s="12" t="s">
        <v>593</v>
      </c>
      <c r="B680" s="166">
        <v>2548.4</v>
      </c>
      <c r="C680" s="10" t="s">
        <v>594</v>
      </c>
      <c r="D680" s="10">
        <f t="shared" si="77"/>
        <v>84.946666666666673</v>
      </c>
      <c r="E680" s="11">
        <v>0.35</v>
      </c>
      <c r="F680" s="27">
        <v>0.35</v>
      </c>
      <c r="G680" s="109">
        <f t="shared" si="71"/>
        <v>0.1</v>
      </c>
      <c r="H680" s="109">
        <v>0.1</v>
      </c>
      <c r="I680" s="109">
        <v>0.35</v>
      </c>
      <c r="J680" s="113">
        <f t="shared" si="72"/>
        <v>0.1</v>
      </c>
      <c r="K680" s="12" t="s">
        <v>597</v>
      </c>
      <c r="L680" s="12" t="s">
        <v>596</v>
      </c>
      <c r="M680" s="129">
        <v>0.1</v>
      </c>
      <c r="N680" s="142">
        <f t="shared" si="73"/>
        <v>1098.8700800000001</v>
      </c>
      <c r="O680" s="128">
        <f t="shared" si="74"/>
        <v>313.9628800000001</v>
      </c>
      <c r="P680" s="159">
        <f t="shared" si="75"/>
        <v>1098.9000000000001</v>
      </c>
      <c r="Q680" s="160">
        <f t="shared" si="76"/>
        <v>314</v>
      </c>
    </row>
    <row r="681" spans="1:17" ht="46.5" thickTop="1" thickBot="1">
      <c r="A681" s="12" t="s">
        <v>598</v>
      </c>
      <c r="B681" s="167">
        <v>1796.2</v>
      </c>
      <c r="C681" s="10" t="s">
        <v>594</v>
      </c>
      <c r="D681" s="10">
        <f t="shared" si="77"/>
        <v>59.873333333333335</v>
      </c>
      <c r="E681" s="11">
        <v>0.25</v>
      </c>
      <c r="F681" s="27">
        <v>0.25</v>
      </c>
      <c r="G681" s="109">
        <f t="shared" si="71"/>
        <v>0.1</v>
      </c>
      <c r="H681" s="109">
        <v>0.1</v>
      </c>
      <c r="I681" s="109">
        <v>0.25</v>
      </c>
      <c r="J681" s="113">
        <f t="shared" si="72"/>
        <v>0.1</v>
      </c>
      <c r="K681" s="12" t="s">
        <v>597</v>
      </c>
      <c r="L681" s="12" t="s">
        <v>596</v>
      </c>
      <c r="M681" s="129">
        <v>0.1</v>
      </c>
      <c r="N681" s="142">
        <f t="shared" si="73"/>
        <v>553.22960000000012</v>
      </c>
      <c r="O681" s="128">
        <f t="shared" si="74"/>
        <v>221.29184000000004</v>
      </c>
      <c r="P681" s="159">
        <f t="shared" si="75"/>
        <v>553.20000000000005</v>
      </c>
      <c r="Q681" s="160">
        <f t="shared" si="76"/>
        <v>221.3</v>
      </c>
    </row>
    <row r="682" spans="1:17" ht="46.5" thickTop="1" thickBot="1">
      <c r="A682" s="12" t="s">
        <v>598</v>
      </c>
      <c r="B682" s="166">
        <v>2203.9</v>
      </c>
      <c r="C682" s="10" t="s">
        <v>594</v>
      </c>
      <c r="D682" s="10">
        <f t="shared" si="77"/>
        <v>73.463333333333338</v>
      </c>
      <c r="E682" s="11">
        <v>0.25</v>
      </c>
      <c r="F682" s="27">
        <v>0.25</v>
      </c>
      <c r="G682" s="109">
        <f t="shared" si="71"/>
        <v>0.1</v>
      </c>
      <c r="H682" s="109">
        <v>0.1</v>
      </c>
      <c r="I682" s="109">
        <v>0.25</v>
      </c>
      <c r="J682" s="113">
        <f t="shared" si="72"/>
        <v>0.1</v>
      </c>
      <c r="K682" s="12" t="s">
        <v>597</v>
      </c>
      <c r="L682" s="12" t="s">
        <v>596</v>
      </c>
      <c r="M682" s="129">
        <v>0.1</v>
      </c>
      <c r="N682" s="142">
        <f t="shared" si="73"/>
        <v>678.80120000000011</v>
      </c>
      <c r="O682" s="128">
        <f t="shared" si="74"/>
        <v>271.52048000000008</v>
      </c>
      <c r="P682" s="159">
        <f t="shared" si="75"/>
        <v>678.8</v>
      </c>
      <c r="Q682" s="160">
        <f t="shared" si="76"/>
        <v>271.5</v>
      </c>
    </row>
    <row r="683" spans="1:17" ht="46.5" thickTop="1" thickBot="1">
      <c r="A683" s="41" t="s">
        <v>599</v>
      </c>
      <c r="B683" s="167">
        <v>1317.2</v>
      </c>
      <c r="C683" s="19" t="s">
        <v>594</v>
      </c>
      <c r="D683" s="10">
        <f t="shared" si="77"/>
        <v>43.906666666666666</v>
      </c>
      <c r="E683" s="42">
        <v>0.25</v>
      </c>
      <c r="F683" s="97">
        <v>0.25</v>
      </c>
      <c r="G683" s="109">
        <f t="shared" si="71"/>
        <v>0.1</v>
      </c>
      <c r="H683" s="109">
        <v>0.1</v>
      </c>
      <c r="I683" s="109">
        <v>0.25</v>
      </c>
      <c r="J683" s="113">
        <f t="shared" si="72"/>
        <v>0.1</v>
      </c>
      <c r="K683" s="40" t="s">
        <v>597</v>
      </c>
      <c r="L683" s="40" t="s">
        <v>596</v>
      </c>
      <c r="M683" s="139">
        <v>0.1</v>
      </c>
      <c r="N683" s="142">
        <f t="shared" si="73"/>
        <v>405.69760000000008</v>
      </c>
      <c r="O683" s="128">
        <f t="shared" si="74"/>
        <v>162.27904000000004</v>
      </c>
      <c r="P683" s="159">
        <f t="shared" si="75"/>
        <v>405.7</v>
      </c>
      <c r="Q683" s="160">
        <f t="shared" si="76"/>
        <v>162.30000000000001</v>
      </c>
    </row>
    <row r="684" spans="1:17" ht="46.5" thickTop="1" thickBot="1">
      <c r="A684" s="12" t="s">
        <v>599</v>
      </c>
      <c r="B684" s="167">
        <v>1796.2</v>
      </c>
      <c r="C684" s="19" t="s">
        <v>594</v>
      </c>
      <c r="D684" s="10">
        <f t="shared" si="77"/>
        <v>59.873333333333335</v>
      </c>
      <c r="E684" s="11">
        <v>0.25</v>
      </c>
      <c r="F684" s="27">
        <v>0.25</v>
      </c>
      <c r="G684" s="109">
        <f t="shared" si="71"/>
        <v>0.1</v>
      </c>
      <c r="H684" s="109">
        <v>0.1</v>
      </c>
      <c r="I684" s="109">
        <v>0.25</v>
      </c>
      <c r="J684" s="113">
        <f t="shared" si="72"/>
        <v>0.1</v>
      </c>
      <c r="K684" s="40" t="s">
        <v>597</v>
      </c>
      <c r="L684" s="40" t="s">
        <v>596</v>
      </c>
      <c r="M684" s="139">
        <v>0.1</v>
      </c>
      <c r="N684" s="142">
        <f t="shared" si="73"/>
        <v>553.22960000000012</v>
      </c>
      <c r="O684" s="128">
        <f t="shared" si="74"/>
        <v>221.29184000000004</v>
      </c>
      <c r="P684" s="159">
        <f t="shared" si="75"/>
        <v>553.20000000000005</v>
      </c>
      <c r="Q684" s="160">
        <f t="shared" si="76"/>
        <v>221.3</v>
      </c>
    </row>
    <row r="685" spans="1:17" ht="46.5" thickTop="1" thickBot="1">
      <c r="A685" s="12" t="s">
        <v>599</v>
      </c>
      <c r="B685" s="167">
        <v>2203.9</v>
      </c>
      <c r="C685" s="19" t="s">
        <v>594</v>
      </c>
      <c r="D685" s="10">
        <f t="shared" si="77"/>
        <v>73.463333333333338</v>
      </c>
      <c r="E685" s="11">
        <v>0.25</v>
      </c>
      <c r="F685" s="27">
        <v>0.25</v>
      </c>
      <c r="G685" s="109">
        <f t="shared" si="71"/>
        <v>0.1</v>
      </c>
      <c r="H685" s="109">
        <v>0.1</v>
      </c>
      <c r="I685" s="109">
        <v>0.25</v>
      </c>
      <c r="J685" s="113">
        <f t="shared" si="72"/>
        <v>0.1</v>
      </c>
      <c r="K685" s="40" t="s">
        <v>597</v>
      </c>
      <c r="L685" s="40" t="s">
        <v>596</v>
      </c>
      <c r="M685" s="139">
        <v>0.1</v>
      </c>
      <c r="N685" s="142">
        <f t="shared" si="73"/>
        <v>678.80120000000011</v>
      </c>
      <c r="O685" s="128">
        <f t="shared" si="74"/>
        <v>271.52048000000008</v>
      </c>
      <c r="P685" s="159">
        <f t="shared" si="75"/>
        <v>678.8</v>
      </c>
      <c r="Q685" s="160">
        <f t="shared" si="76"/>
        <v>271.5</v>
      </c>
    </row>
    <row r="686" spans="1:17" ht="46.5" thickTop="1" thickBot="1">
      <c r="A686" s="12" t="s">
        <v>601</v>
      </c>
      <c r="B686" s="166">
        <v>1471.4</v>
      </c>
      <c r="C686" s="10" t="s">
        <v>600</v>
      </c>
      <c r="D686" s="10">
        <f>B686/60*4</f>
        <v>98.093333333333334</v>
      </c>
      <c r="E686" s="11">
        <v>0.35</v>
      </c>
      <c r="F686" s="27">
        <v>0.35</v>
      </c>
      <c r="G686" s="109">
        <f t="shared" si="71"/>
        <v>0.1</v>
      </c>
      <c r="H686" s="109">
        <v>0.1</v>
      </c>
      <c r="I686" s="109">
        <v>0.35</v>
      </c>
      <c r="J686" s="113">
        <f t="shared" si="72"/>
        <v>0.1</v>
      </c>
      <c r="K686" s="12" t="s">
        <v>602</v>
      </c>
      <c r="L686" s="12" t="s">
        <v>596</v>
      </c>
      <c r="M686" s="129">
        <v>0.1</v>
      </c>
      <c r="N686" s="142">
        <f t="shared" si="73"/>
        <v>634.46768000000009</v>
      </c>
      <c r="O686" s="128">
        <f t="shared" si="74"/>
        <v>181.27648000000005</v>
      </c>
      <c r="P686" s="159">
        <f t="shared" si="75"/>
        <v>634.5</v>
      </c>
      <c r="Q686" s="160">
        <f t="shared" si="76"/>
        <v>181.3</v>
      </c>
    </row>
    <row r="687" spans="1:17" ht="46.5" thickTop="1" thickBot="1">
      <c r="A687" s="12" t="s">
        <v>601</v>
      </c>
      <c r="B687" s="166">
        <v>1230.8</v>
      </c>
      <c r="C687" s="10" t="s">
        <v>600</v>
      </c>
      <c r="D687" s="10">
        <f>B687/60*4</f>
        <v>82.053333333333327</v>
      </c>
      <c r="E687" s="11">
        <v>0.3</v>
      </c>
      <c r="F687" s="27">
        <v>0.3</v>
      </c>
      <c r="G687" s="109">
        <f t="shared" si="71"/>
        <v>0.1</v>
      </c>
      <c r="H687" s="109">
        <v>0.1</v>
      </c>
      <c r="I687" s="109">
        <v>0.3</v>
      </c>
      <c r="J687" s="113">
        <f t="shared" si="72"/>
        <v>0.1</v>
      </c>
      <c r="K687" s="12" t="s">
        <v>595</v>
      </c>
      <c r="L687" s="12" t="s">
        <v>596</v>
      </c>
      <c r="M687" s="129">
        <v>0.1</v>
      </c>
      <c r="N687" s="142">
        <f t="shared" si="73"/>
        <v>454.90368000000001</v>
      </c>
      <c r="O687" s="128">
        <f t="shared" si="74"/>
        <v>151.63456000000002</v>
      </c>
      <c r="P687" s="159">
        <f t="shared" si="75"/>
        <v>454.9</v>
      </c>
      <c r="Q687" s="160">
        <f t="shared" si="76"/>
        <v>151.6</v>
      </c>
    </row>
    <row r="688" spans="1:17" ht="46.5" thickTop="1" thickBot="1">
      <c r="A688" s="12" t="s">
        <v>601</v>
      </c>
      <c r="B688" s="166">
        <v>2461.6</v>
      </c>
      <c r="C688" s="10" t="s">
        <v>603</v>
      </c>
      <c r="D688" s="10">
        <f>B688/120*4</f>
        <v>82.053333333333327</v>
      </c>
      <c r="E688" s="11">
        <v>0.3</v>
      </c>
      <c r="F688" s="27">
        <v>0.3</v>
      </c>
      <c r="G688" s="109">
        <f t="shared" si="71"/>
        <v>0.1</v>
      </c>
      <c r="H688" s="109">
        <v>0.1</v>
      </c>
      <c r="I688" s="109">
        <v>0.3</v>
      </c>
      <c r="J688" s="113">
        <f t="shared" si="72"/>
        <v>0.1</v>
      </c>
      <c r="K688" s="12" t="s">
        <v>595</v>
      </c>
      <c r="L688" s="12" t="s">
        <v>596</v>
      </c>
      <c r="M688" s="129">
        <v>0.1</v>
      </c>
      <c r="N688" s="142">
        <f t="shared" si="73"/>
        <v>909.80736000000002</v>
      </c>
      <c r="O688" s="128">
        <f t="shared" si="74"/>
        <v>303.26912000000004</v>
      </c>
      <c r="P688" s="159">
        <f t="shared" si="75"/>
        <v>909.8</v>
      </c>
      <c r="Q688" s="160">
        <f t="shared" si="76"/>
        <v>303.3</v>
      </c>
    </row>
    <row r="689" spans="1:17" ht="46.5" thickTop="1" thickBot="1">
      <c r="A689" s="12" t="s">
        <v>601</v>
      </c>
      <c r="B689" s="166">
        <v>2687.8</v>
      </c>
      <c r="C689" s="10" t="s">
        <v>594</v>
      </c>
      <c r="D689" s="10">
        <f>B689/60*2</f>
        <v>89.593333333333334</v>
      </c>
      <c r="E689" s="11">
        <v>0.35</v>
      </c>
      <c r="F689" s="27">
        <v>0.35</v>
      </c>
      <c r="G689" s="109">
        <f t="shared" si="71"/>
        <v>0.1</v>
      </c>
      <c r="H689" s="109">
        <v>0.1</v>
      </c>
      <c r="I689" s="109">
        <v>0.35</v>
      </c>
      <c r="J689" s="113">
        <f t="shared" si="72"/>
        <v>0.1</v>
      </c>
      <c r="K689" s="12" t="s">
        <v>595</v>
      </c>
      <c r="L689" s="12" t="s">
        <v>596</v>
      </c>
      <c r="M689" s="129">
        <v>0.1</v>
      </c>
      <c r="N689" s="142">
        <f t="shared" si="73"/>
        <v>1158.97936</v>
      </c>
      <c r="O689" s="128">
        <f t="shared" si="74"/>
        <v>331.13696000000004</v>
      </c>
      <c r="P689" s="159">
        <f t="shared" si="75"/>
        <v>1159</v>
      </c>
      <c r="Q689" s="160">
        <f t="shared" si="76"/>
        <v>331.1</v>
      </c>
    </row>
    <row r="690" spans="1:17" ht="46.5" thickTop="1" thickBot="1">
      <c r="A690" s="17" t="s">
        <v>604</v>
      </c>
      <c r="B690" s="166">
        <v>2616.4</v>
      </c>
      <c r="C690" s="19" t="s">
        <v>600</v>
      </c>
      <c r="D690" s="10">
        <f>B690/120*4</f>
        <v>87.213333333333338</v>
      </c>
      <c r="E690" s="11">
        <v>0.35</v>
      </c>
      <c r="F690" s="27">
        <v>0.35</v>
      </c>
      <c r="G690" s="109">
        <f t="shared" si="71"/>
        <v>0.1</v>
      </c>
      <c r="H690" s="109">
        <v>0.1</v>
      </c>
      <c r="I690" s="109">
        <v>0.35</v>
      </c>
      <c r="J690" s="113">
        <f t="shared" si="72"/>
        <v>0.1</v>
      </c>
      <c r="K690" s="12" t="s">
        <v>605</v>
      </c>
      <c r="L690" s="12" t="s">
        <v>606</v>
      </c>
      <c r="M690" s="129">
        <v>0.1</v>
      </c>
      <c r="N690" s="142">
        <f t="shared" si="73"/>
        <v>1128.1916800000004</v>
      </c>
      <c r="O690" s="128">
        <f t="shared" si="74"/>
        <v>322.34048000000013</v>
      </c>
      <c r="P690" s="159">
        <f t="shared" si="75"/>
        <v>1128.2</v>
      </c>
      <c r="Q690" s="160">
        <f t="shared" si="76"/>
        <v>322.3</v>
      </c>
    </row>
    <row r="691" spans="1:17" ht="46.5" thickTop="1" thickBot="1">
      <c r="A691" s="12" t="s">
        <v>607</v>
      </c>
      <c r="B691" s="166">
        <v>2461.6</v>
      </c>
      <c r="C691" s="10" t="s">
        <v>600</v>
      </c>
      <c r="D691" s="10">
        <f>B691/120*4</f>
        <v>82.053333333333327</v>
      </c>
      <c r="E691" s="11">
        <v>0.3</v>
      </c>
      <c r="F691" s="27">
        <v>0.3</v>
      </c>
      <c r="G691" s="109">
        <f t="shared" si="71"/>
        <v>0.1</v>
      </c>
      <c r="H691" s="109">
        <v>0.1</v>
      </c>
      <c r="I691" s="109">
        <v>0.3</v>
      </c>
      <c r="J691" s="113">
        <f t="shared" si="72"/>
        <v>0.1</v>
      </c>
      <c r="K691" s="12" t="s">
        <v>602</v>
      </c>
      <c r="L691" s="12" t="s">
        <v>596</v>
      </c>
      <c r="M691" s="129">
        <v>0.1</v>
      </c>
      <c r="N691" s="142">
        <f t="shared" si="73"/>
        <v>909.80736000000002</v>
      </c>
      <c r="O691" s="128">
        <f t="shared" si="74"/>
        <v>303.26912000000004</v>
      </c>
      <c r="P691" s="159">
        <f t="shared" si="75"/>
        <v>909.8</v>
      </c>
      <c r="Q691" s="160">
        <f t="shared" si="76"/>
        <v>303.3</v>
      </c>
    </row>
    <row r="692" spans="1:17" ht="46.5" thickTop="1" thickBot="1">
      <c r="A692" s="12" t="s">
        <v>607</v>
      </c>
      <c r="B692" s="166">
        <v>2687.8</v>
      </c>
      <c r="C692" s="10" t="s">
        <v>594</v>
      </c>
      <c r="D692" s="10">
        <f>B692/60*2</f>
        <v>89.593333333333334</v>
      </c>
      <c r="E692" s="11">
        <v>0.35</v>
      </c>
      <c r="F692" s="27">
        <v>0.35</v>
      </c>
      <c r="G692" s="109">
        <f t="shared" si="71"/>
        <v>0.1</v>
      </c>
      <c r="H692" s="109">
        <v>0.1</v>
      </c>
      <c r="I692" s="109">
        <v>0.35</v>
      </c>
      <c r="J692" s="113">
        <f t="shared" si="72"/>
        <v>0.1</v>
      </c>
      <c r="K692" s="12" t="s">
        <v>602</v>
      </c>
      <c r="L692" s="12" t="s">
        <v>596</v>
      </c>
      <c r="M692" s="129">
        <v>0.1</v>
      </c>
      <c r="N692" s="142">
        <f t="shared" si="73"/>
        <v>1158.97936</v>
      </c>
      <c r="O692" s="128">
        <f t="shared" si="74"/>
        <v>331.13696000000004</v>
      </c>
      <c r="P692" s="159">
        <f t="shared" si="75"/>
        <v>1159</v>
      </c>
      <c r="Q692" s="160">
        <f t="shared" si="76"/>
        <v>331.1</v>
      </c>
    </row>
    <row r="693" spans="1:17" ht="46.5" thickTop="1" thickBot="1">
      <c r="A693" s="12" t="s">
        <v>608</v>
      </c>
      <c r="B693" s="166">
        <v>1230.8</v>
      </c>
      <c r="C693" s="10" t="s">
        <v>600</v>
      </c>
      <c r="D693" s="10">
        <f>B693/60*4</f>
        <v>82.053333333333327</v>
      </c>
      <c r="E693" s="11">
        <v>0.3</v>
      </c>
      <c r="F693" s="27">
        <v>0.3</v>
      </c>
      <c r="G693" s="109">
        <f t="shared" si="71"/>
        <v>0.1</v>
      </c>
      <c r="H693" s="109">
        <v>0.1</v>
      </c>
      <c r="I693" s="109">
        <v>0.3</v>
      </c>
      <c r="J693" s="113">
        <f t="shared" si="72"/>
        <v>0.1</v>
      </c>
      <c r="K693" s="12" t="s">
        <v>602</v>
      </c>
      <c r="L693" s="12" t="s">
        <v>596</v>
      </c>
      <c r="M693" s="129">
        <v>0.1</v>
      </c>
      <c r="N693" s="142">
        <f t="shared" si="73"/>
        <v>454.90368000000001</v>
      </c>
      <c r="O693" s="128">
        <f t="shared" si="74"/>
        <v>151.63456000000002</v>
      </c>
      <c r="P693" s="159">
        <f t="shared" si="75"/>
        <v>454.9</v>
      </c>
      <c r="Q693" s="160">
        <f t="shared" si="76"/>
        <v>151.6</v>
      </c>
    </row>
    <row r="694" spans="1:17" ht="46.5" thickTop="1" thickBot="1">
      <c r="A694" s="12" t="s">
        <v>609</v>
      </c>
      <c r="B694" s="166">
        <v>4007.3</v>
      </c>
      <c r="C694" s="10" t="s">
        <v>600</v>
      </c>
      <c r="D694" s="10">
        <f>B694/180*4</f>
        <v>89.051111111111112</v>
      </c>
      <c r="E694" s="11">
        <v>0.35</v>
      </c>
      <c r="F694" s="27">
        <v>0.35</v>
      </c>
      <c r="G694" s="109">
        <f t="shared" si="71"/>
        <v>0.1</v>
      </c>
      <c r="H694" s="109">
        <v>0.1</v>
      </c>
      <c r="I694" s="109">
        <v>0.35</v>
      </c>
      <c r="J694" s="113">
        <f t="shared" si="72"/>
        <v>0.1</v>
      </c>
      <c r="K694" s="12" t="s">
        <v>602</v>
      </c>
      <c r="L694" s="12" t="s">
        <v>596</v>
      </c>
      <c r="M694" s="129">
        <v>0.1</v>
      </c>
      <c r="N694" s="142">
        <f t="shared" si="73"/>
        <v>1727.9477600000002</v>
      </c>
      <c r="O694" s="128">
        <f t="shared" si="74"/>
        <v>493.69936000000013</v>
      </c>
      <c r="P694" s="159">
        <f t="shared" si="75"/>
        <v>1727.9</v>
      </c>
      <c r="Q694" s="160">
        <f t="shared" si="76"/>
        <v>493.7</v>
      </c>
    </row>
    <row r="695" spans="1:17" ht="46.5" thickTop="1" thickBot="1">
      <c r="A695" s="13" t="s">
        <v>610</v>
      </c>
      <c r="B695" s="167">
        <v>2917.5</v>
      </c>
      <c r="C695" s="10" t="s">
        <v>600</v>
      </c>
      <c r="D695" s="10">
        <f>B695/120*4</f>
        <v>97.25</v>
      </c>
      <c r="E695" s="11">
        <v>0.4</v>
      </c>
      <c r="F695" s="27">
        <v>0.4</v>
      </c>
      <c r="G695" s="109">
        <f t="shared" si="71"/>
        <v>0.1</v>
      </c>
      <c r="H695" s="109">
        <v>0.1</v>
      </c>
      <c r="I695" s="109">
        <v>0.4</v>
      </c>
      <c r="J695" s="113">
        <f t="shared" si="72"/>
        <v>0.1</v>
      </c>
      <c r="K695" s="12" t="s">
        <v>602</v>
      </c>
      <c r="L695" s="12" t="s">
        <v>596</v>
      </c>
      <c r="M695" s="129">
        <v>0.1</v>
      </c>
      <c r="N695" s="142">
        <f t="shared" si="73"/>
        <v>1437.7440000000004</v>
      </c>
      <c r="O695" s="128">
        <f t="shared" si="74"/>
        <v>359.43600000000009</v>
      </c>
      <c r="P695" s="159">
        <f t="shared" si="75"/>
        <v>1437.7</v>
      </c>
      <c r="Q695" s="160">
        <f t="shared" si="76"/>
        <v>359.4</v>
      </c>
    </row>
    <row r="696" spans="1:17" ht="46.5" thickTop="1" thickBot="1">
      <c r="A696" s="12" t="s">
        <v>611</v>
      </c>
      <c r="B696" s="166">
        <v>2694.8</v>
      </c>
      <c r="C696" s="10" t="s">
        <v>612</v>
      </c>
      <c r="D696" s="10">
        <f>+B696/30</f>
        <v>89.826666666666668</v>
      </c>
      <c r="E696" s="11">
        <v>0.4</v>
      </c>
      <c r="F696" s="27">
        <v>0.4</v>
      </c>
      <c r="G696" s="109">
        <f t="shared" si="71"/>
        <v>0.1</v>
      </c>
      <c r="H696" s="109">
        <v>0.1</v>
      </c>
      <c r="I696" s="109">
        <v>0.4</v>
      </c>
      <c r="J696" s="113">
        <f t="shared" si="72"/>
        <v>0.1</v>
      </c>
      <c r="K696" s="12" t="s">
        <v>595</v>
      </c>
      <c r="L696" s="12" t="s">
        <v>596</v>
      </c>
      <c r="M696" s="129">
        <v>0.1</v>
      </c>
      <c r="N696" s="142">
        <f t="shared" si="73"/>
        <v>1327.9974400000003</v>
      </c>
      <c r="O696" s="128">
        <f t="shared" si="74"/>
        <v>331.99936000000008</v>
      </c>
      <c r="P696" s="159">
        <f t="shared" si="75"/>
        <v>1328</v>
      </c>
      <c r="Q696" s="160">
        <f t="shared" si="76"/>
        <v>332</v>
      </c>
    </row>
    <row r="697" spans="1:17" ht="35.25" thickTop="1" thickBot="1">
      <c r="A697" s="12" t="s">
        <v>611</v>
      </c>
      <c r="B697" s="166">
        <v>3328.7</v>
      </c>
      <c r="C697" s="10" t="s">
        <v>612</v>
      </c>
      <c r="D697" s="10">
        <f>+B697/30</f>
        <v>110.95666666666666</v>
      </c>
      <c r="E697" s="11">
        <v>0.4</v>
      </c>
      <c r="F697" s="27">
        <v>0.4</v>
      </c>
      <c r="G697" s="109">
        <f t="shared" si="71"/>
        <v>0.1</v>
      </c>
      <c r="H697" s="109">
        <v>0.1</v>
      </c>
      <c r="I697" s="109">
        <v>0.4</v>
      </c>
      <c r="J697" s="113">
        <f t="shared" si="72"/>
        <v>0.1</v>
      </c>
      <c r="K697" s="12" t="s">
        <v>613</v>
      </c>
      <c r="L697" s="12" t="s">
        <v>614</v>
      </c>
      <c r="M697" s="129">
        <v>0.1</v>
      </c>
      <c r="N697" s="142">
        <f t="shared" si="73"/>
        <v>1640.3833600000003</v>
      </c>
      <c r="O697" s="128">
        <f t="shared" si="74"/>
        <v>410.09584000000007</v>
      </c>
      <c r="P697" s="159">
        <f t="shared" si="75"/>
        <v>1640.4</v>
      </c>
      <c r="Q697" s="160">
        <f t="shared" si="76"/>
        <v>410.1</v>
      </c>
    </row>
    <row r="698" spans="1:17" ht="35.25" thickTop="1" thickBot="1">
      <c r="A698" s="12" t="s">
        <v>615</v>
      </c>
      <c r="B698" s="166">
        <v>3241</v>
      </c>
      <c r="C698" s="10" t="s">
        <v>616</v>
      </c>
      <c r="D698" s="10">
        <f>+B698/30</f>
        <v>108.03333333333333</v>
      </c>
      <c r="E698" s="11">
        <v>0.35</v>
      </c>
      <c r="F698" s="27">
        <v>0.35</v>
      </c>
      <c r="G698" s="109">
        <f t="shared" si="71"/>
        <v>0.1</v>
      </c>
      <c r="H698" s="109">
        <v>0.1</v>
      </c>
      <c r="I698" s="109">
        <v>0.35</v>
      </c>
      <c r="J698" s="113">
        <f t="shared" si="72"/>
        <v>0.1</v>
      </c>
      <c r="K698" s="12" t="s">
        <v>617</v>
      </c>
      <c r="L698" s="12" t="s">
        <v>618</v>
      </c>
      <c r="M698" s="129">
        <v>0.1</v>
      </c>
      <c r="N698" s="142">
        <f t="shared" si="73"/>
        <v>1397.5192000000002</v>
      </c>
      <c r="O698" s="128">
        <f t="shared" si="74"/>
        <v>399.29120000000012</v>
      </c>
      <c r="P698" s="159">
        <f t="shared" si="75"/>
        <v>1397.5</v>
      </c>
      <c r="Q698" s="160">
        <f t="shared" si="76"/>
        <v>399.3</v>
      </c>
    </row>
    <row r="699" spans="1:17" ht="57.75" thickTop="1" thickBot="1">
      <c r="A699" s="12" t="s">
        <v>619</v>
      </c>
      <c r="B699" s="166">
        <v>3573.6</v>
      </c>
      <c r="C699" s="10" t="s">
        <v>616</v>
      </c>
      <c r="D699" s="10">
        <f>+B699/30</f>
        <v>119.11999999999999</v>
      </c>
      <c r="E699" s="11">
        <v>0.35</v>
      </c>
      <c r="F699" s="27">
        <v>0.35</v>
      </c>
      <c r="G699" s="109">
        <f t="shared" si="71"/>
        <v>0.1</v>
      </c>
      <c r="H699" s="109">
        <v>0.1</v>
      </c>
      <c r="I699" s="109">
        <v>0.35</v>
      </c>
      <c r="J699" s="113">
        <f t="shared" si="72"/>
        <v>0.1</v>
      </c>
      <c r="K699" s="12" t="s">
        <v>620</v>
      </c>
      <c r="L699" s="12" t="s">
        <v>618</v>
      </c>
      <c r="M699" s="129">
        <v>0.1</v>
      </c>
      <c r="N699" s="142">
        <f t="shared" si="73"/>
        <v>1540.9363200000003</v>
      </c>
      <c r="O699" s="128">
        <f t="shared" si="74"/>
        <v>440.2675200000001</v>
      </c>
      <c r="P699" s="159">
        <f t="shared" si="75"/>
        <v>1540.9</v>
      </c>
      <c r="Q699" s="160">
        <f t="shared" si="76"/>
        <v>440.3</v>
      </c>
    </row>
    <row r="700" spans="1:17" ht="35.25" thickTop="1" thickBot="1">
      <c r="A700" s="12" t="s">
        <v>621</v>
      </c>
      <c r="B700" s="167">
        <v>3241</v>
      </c>
      <c r="C700" s="10" t="s">
        <v>622</v>
      </c>
      <c r="D700" s="10">
        <f>B700/60*2</f>
        <v>108.03333333333333</v>
      </c>
      <c r="E700" s="87">
        <v>0.35</v>
      </c>
      <c r="F700" s="104">
        <v>0.35</v>
      </c>
      <c r="G700" s="109">
        <f t="shared" si="71"/>
        <v>0.1</v>
      </c>
      <c r="H700" s="109">
        <v>0.1</v>
      </c>
      <c r="I700" s="109">
        <v>0.35</v>
      </c>
      <c r="J700" s="113">
        <f t="shared" si="72"/>
        <v>0.1</v>
      </c>
      <c r="K700" s="15" t="s">
        <v>591</v>
      </c>
      <c r="L700" s="15" t="s">
        <v>592</v>
      </c>
      <c r="M700" s="131">
        <v>0.1</v>
      </c>
      <c r="N700" s="142">
        <f t="shared" si="73"/>
        <v>1397.5192000000002</v>
      </c>
      <c r="O700" s="128">
        <f t="shared" si="74"/>
        <v>399.29120000000012</v>
      </c>
      <c r="P700" s="159">
        <f t="shared" si="75"/>
        <v>1397.5</v>
      </c>
      <c r="Q700" s="160">
        <f t="shared" si="76"/>
        <v>399.3</v>
      </c>
    </row>
    <row r="701" spans="1:17" ht="57.75" thickTop="1" thickBot="1">
      <c r="A701" s="12" t="s">
        <v>623</v>
      </c>
      <c r="B701" s="167">
        <v>3914.6</v>
      </c>
      <c r="C701" s="91" t="s">
        <v>594</v>
      </c>
      <c r="D701" s="10">
        <f>B701/30</f>
        <v>130.48666666666665</v>
      </c>
      <c r="E701" s="11">
        <v>0.35</v>
      </c>
      <c r="F701" s="27">
        <v>0.35</v>
      </c>
      <c r="G701" s="109">
        <f t="shared" ref="G701:G743" si="78">IF(AND(F701&gt;=0.15, F701&lt;=0.45), 0.1, IF(AND(F701&gt;=0.5, F701&lt;=0.9), F701-0.4, F701))</f>
        <v>0.1</v>
      </c>
      <c r="H701" s="109">
        <v>0.1</v>
      </c>
      <c r="I701" s="109">
        <v>0.35</v>
      </c>
      <c r="J701" s="113">
        <f t="shared" ref="J701:J743" si="79">H701</f>
        <v>0.1</v>
      </c>
      <c r="K701" s="12" t="s">
        <v>620</v>
      </c>
      <c r="L701" s="12" t="s">
        <v>624</v>
      </c>
      <c r="M701" s="129">
        <v>0.1</v>
      </c>
      <c r="N701" s="142">
        <f t="shared" si="73"/>
        <v>1687.9755200000002</v>
      </c>
      <c r="O701" s="128">
        <f t="shared" si="74"/>
        <v>482.27872000000013</v>
      </c>
      <c r="P701" s="159">
        <f t="shared" si="75"/>
        <v>1688</v>
      </c>
      <c r="Q701" s="160">
        <f t="shared" si="76"/>
        <v>482.3</v>
      </c>
    </row>
    <row r="702" spans="1:17" ht="91.5" thickTop="1" thickBot="1">
      <c r="A702" s="39" t="s">
        <v>625</v>
      </c>
      <c r="B702" s="170">
        <v>5264.4</v>
      </c>
      <c r="C702" s="70" t="s">
        <v>616</v>
      </c>
      <c r="D702" s="88">
        <f>B702/30</f>
        <v>175.48</v>
      </c>
      <c r="E702" s="71">
        <v>0.35</v>
      </c>
      <c r="F702" s="106">
        <v>0.35</v>
      </c>
      <c r="G702" s="109">
        <f t="shared" si="78"/>
        <v>0.1</v>
      </c>
      <c r="H702" s="111">
        <v>0.1</v>
      </c>
      <c r="I702" s="111">
        <v>0.35</v>
      </c>
      <c r="J702" s="113">
        <f t="shared" si="79"/>
        <v>0.1</v>
      </c>
      <c r="K702" s="75" t="s">
        <v>626</v>
      </c>
      <c r="L702" s="75" t="s">
        <v>624</v>
      </c>
      <c r="M702" s="137">
        <v>0.1</v>
      </c>
      <c r="N702" s="142">
        <f t="shared" si="73"/>
        <v>2270.0092800000002</v>
      </c>
      <c r="O702" s="128">
        <f t="shared" si="74"/>
        <v>648.57408000000009</v>
      </c>
      <c r="P702" s="159">
        <f t="shared" si="75"/>
        <v>2270</v>
      </c>
      <c r="Q702" s="160">
        <f t="shared" si="76"/>
        <v>648.6</v>
      </c>
    </row>
    <row r="703" spans="1:17" ht="102.75" thickTop="1" thickBot="1">
      <c r="A703" s="39" t="s">
        <v>627</v>
      </c>
      <c r="B703" s="167">
        <v>6571.8</v>
      </c>
      <c r="C703" s="9" t="s">
        <v>600</v>
      </c>
      <c r="D703" s="9">
        <f>B703/180*4</f>
        <v>146.04</v>
      </c>
      <c r="E703" s="11">
        <v>0.3</v>
      </c>
      <c r="F703" s="27">
        <v>0.3</v>
      </c>
      <c r="G703" s="109">
        <f t="shared" si="78"/>
        <v>0.1</v>
      </c>
      <c r="H703" s="109">
        <v>0.1</v>
      </c>
      <c r="I703" s="109">
        <v>0.3</v>
      </c>
      <c r="J703" s="113">
        <f t="shared" si="79"/>
        <v>0.1</v>
      </c>
      <c r="K703" s="12" t="s">
        <v>729</v>
      </c>
      <c r="L703" s="75" t="s">
        <v>624</v>
      </c>
      <c r="M703" s="137">
        <v>0.1</v>
      </c>
      <c r="N703" s="142">
        <f t="shared" si="73"/>
        <v>2428.9372800000001</v>
      </c>
      <c r="O703" s="128">
        <f t="shared" si="74"/>
        <v>809.64576000000022</v>
      </c>
      <c r="P703" s="159">
        <f t="shared" si="75"/>
        <v>2428.9</v>
      </c>
      <c r="Q703" s="160">
        <f t="shared" si="76"/>
        <v>809.6</v>
      </c>
    </row>
    <row r="704" spans="1:17" ht="91.5" thickTop="1" thickBot="1">
      <c r="A704" s="12" t="s">
        <v>628</v>
      </c>
      <c r="B704" s="166">
        <v>4702.5</v>
      </c>
      <c r="C704" s="10" t="s">
        <v>600</v>
      </c>
      <c r="D704" s="35">
        <f>B704/120*4</f>
        <v>156.75</v>
      </c>
      <c r="E704" s="11">
        <v>0.35</v>
      </c>
      <c r="F704" s="106">
        <v>0.35</v>
      </c>
      <c r="G704" s="109">
        <f t="shared" si="78"/>
        <v>0.1</v>
      </c>
      <c r="H704" s="111">
        <v>0.1</v>
      </c>
      <c r="I704" s="111">
        <v>0.35</v>
      </c>
      <c r="J704" s="113">
        <f t="shared" si="79"/>
        <v>0.1</v>
      </c>
      <c r="K704" s="75" t="s">
        <v>626</v>
      </c>
      <c r="L704" s="75" t="s">
        <v>624</v>
      </c>
      <c r="M704" s="137">
        <v>0.1</v>
      </c>
      <c r="N704" s="142">
        <f t="shared" si="73"/>
        <v>2027.7180000000003</v>
      </c>
      <c r="O704" s="128">
        <f t="shared" si="74"/>
        <v>579.34800000000007</v>
      </c>
      <c r="P704" s="159">
        <f t="shared" si="75"/>
        <v>2027.7</v>
      </c>
      <c r="Q704" s="160">
        <f t="shared" si="76"/>
        <v>579.29999999999995</v>
      </c>
    </row>
    <row r="705" spans="1:17" ht="35.25" thickTop="1" thickBot="1">
      <c r="A705" s="12" t="s">
        <v>629</v>
      </c>
      <c r="B705" s="166">
        <v>741.9</v>
      </c>
      <c r="C705" s="10" t="s">
        <v>630</v>
      </c>
      <c r="D705" s="10">
        <f>B705/100/200*800</f>
        <v>29.675999999999998</v>
      </c>
      <c r="E705" s="11">
        <v>0.35</v>
      </c>
      <c r="F705" s="27">
        <v>0.35</v>
      </c>
      <c r="G705" s="109">
        <f t="shared" si="78"/>
        <v>0.1</v>
      </c>
      <c r="H705" s="109">
        <v>0.1</v>
      </c>
      <c r="I705" s="109">
        <v>0.35</v>
      </c>
      <c r="J705" s="113">
        <f t="shared" si="79"/>
        <v>0.1</v>
      </c>
      <c r="K705" s="12" t="s">
        <v>631</v>
      </c>
      <c r="L705" s="12" t="s">
        <v>592</v>
      </c>
      <c r="M705" s="129">
        <v>0.1</v>
      </c>
      <c r="N705" s="142">
        <f t="shared" si="73"/>
        <v>319.90728000000001</v>
      </c>
      <c r="O705" s="128">
        <f t="shared" si="74"/>
        <v>91.402080000000026</v>
      </c>
      <c r="P705" s="159">
        <f t="shared" si="75"/>
        <v>319.89999999999998</v>
      </c>
      <c r="Q705" s="160">
        <f t="shared" si="76"/>
        <v>91.4</v>
      </c>
    </row>
    <row r="706" spans="1:17" ht="35.25" thickTop="1" thickBot="1">
      <c r="A706" s="12" t="s">
        <v>632</v>
      </c>
      <c r="B706" s="166">
        <v>632.70000000000005</v>
      </c>
      <c r="C706" s="10" t="s">
        <v>692</v>
      </c>
      <c r="D706" s="10">
        <f>+B706/60/125*600</f>
        <v>50.616</v>
      </c>
      <c r="E706" s="11">
        <v>0.35</v>
      </c>
      <c r="F706" s="27">
        <v>0.35</v>
      </c>
      <c r="G706" s="109">
        <f t="shared" si="78"/>
        <v>0.1</v>
      </c>
      <c r="H706" s="109">
        <v>0.1</v>
      </c>
      <c r="I706" s="109">
        <v>0.35</v>
      </c>
      <c r="J706" s="113">
        <f t="shared" si="79"/>
        <v>0.1</v>
      </c>
      <c r="K706" s="12" t="s">
        <v>631</v>
      </c>
      <c r="L706" s="12" t="s">
        <v>592</v>
      </c>
      <c r="M706" s="129">
        <v>0.1</v>
      </c>
      <c r="N706" s="142">
        <f t="shared" si="73"/>
        <v>272.82024000000001</v>
      </c>
      <c r="O706" s="128">
        <f t="shared" si="74"/>
        <v>77.948640000000026</v>
      </c>
      <c r="P706" s="159">
        <f t="shared" si="75"/>
        <v>272.8</v>
      </c>
      <c r="Q706" s="160">
        <f t="shared" si="76"/>
        <v>77.900000000000006</v>
      </c>
    </row>
    <row r="707" spans="1:17" ht="35.25" thickTop="1" thickBot="1">
      <c r="A707" s="12" t="s">
        <v>632</v>
      </c>
      <c r="B707" s="166">
        <v>892.2</v>
      </c>
      <c r="C707" s="10" t="s">
        <v>692</v>
      </c>
      <c r="D707" s="10">
        <f>+B707/60/250*600</f>
        <v>35.688000000000002</v>
      </c>
      <c r="E707" s="11">
        <v>0.35</v>
      </c>
      <c r="F707" s="27">
        <v>0.35</v>
      </c>
      <c r="G707" s="109">
        <f t="shared" si="78"/>
        <v>0.1</v>
      </c>
      <c r="H707" s="109">
        <v>0.1</v>
      </c>
      <c r="I707" s="109">
        <v>0.35</v>
      </c>
      <c r="J707" s="113">
        <f t="shared" si="79"/>
        <v>0.1</v>
      </c>
      <c r="K707" s="12" t="s">
        <v>631</v>
      </c>
      <c r="L707" s="12" t="s">
        <v>592</v>
      </c>
      <c r="M707" s="129">
        <v>0.1</v>
      </c>
      <c r="N707" s="142">
        <f t="shared" ref="N707:N743" si="80">B707*I707*1.12*1.1</f>
        <v>384.71664000000004</v>
      </c>
      <c r="O707" s="128">
        <f t="shared" ref="O707:O743" si="81">B707*M707*1.12*1.1</f>
        <v>109.91904000000004</v>
      </c>
      <c r="P707" s="159">
        <f t="shared" ref="P707:P743" si="82">ROUND(N707, 1)</f>
        <v>384.7</v>
      </c>
      <c r="Q707" s="160">
        <f t="shared" ref="Q707:Q743" si="83">ROUND(O707, 1)</f>
        <v>109.9</v>
      </c>
    </row>
    <row r="708" spans="1:17" ht="35.25" thickTop="1" thickBot="1">
      <c r="A708" s="16" t="s">
        <v>633</v>
      </c>
      <c r="B708" s="166">
        <v>1683.7</v>
      </c>
      <c r="C708" s="10" t="s">
        <v>634</v>
      </c>
      <c r="D708" s="10">
        <f>B708/60/160*160</f>
        <v>28.061666666666667</v>
      </c>
      <c r="E708" s="11">
        <v>0.2</v>
      </c>
      <c r="F708" s="27">
        <v>0.2</v>
      </c>
      <c r="G708" s="109">
        <f t="shared" si="78"/>
        <v>0.1</v>
      </c>
      <c r="H708" s="109">
        <v>0.1</v>
      </c>
      <c r="I708" s="109">
        <v>0.2</v>
      </c>
      <c r="J708" s="113">
        <f t="shared" si="79"/>
        <v>0.1</v>
      </c>
      <c r="K708" s="12" t="s">
        <v>631</v>
      </c>
      <c r="L708" s="12" t="s">
        <v>592</v>
      </c>
      <c r="M708" s="129">
        <v>0.1</v>
      </c>
      <c r="N708" s="142">
        <f t="shared" si="80"/>
        <v>414.8636800000001</v>
      </c>
      <c r="O708" s="128">
        <f t="shared" si="81"/>
        <v>207.43184000000005</v>
      </c>
      <c r="P708" s="159">
        <f t="shared" si="82"/>
        <v>414.9</v>
      </c>
      <c r="Q708" s="160">
        <f t="shared" si="83"/>
        <v>207.4</v>
      </c>
    </row>
    <row r="709" spans="1:17" ht="35.25" thickTop="1" thickBot="1">
      <c r="A709" s="16" t="s">
        <v>633</v>
      </c>
      <c r="B709" s="166">
        <v>2557.8000000000002</v>
      </c>
      <c r="C709" s="10" t="s">
        <v>634</v>
      </c>
      <c r="D709" s="10">
        <f>B709/120/80*160</f>
        <v>42.629999999999995</v>
      </c>
      <c r="E709" s="11">
        <v>0.2</v>
      </c>
      <c r="F709" s="27">
        <v>0.2</v>
      </c>
      <c r="G709" s="109">
        <f t="shared" si="78"/>
        <v>0.1</v>
      </c>
      <c r="H709" s="109">
        <v>0.1</v>
      </c>
      <c r="I709" s="109">
        <v>0.2</v>
      </c>
      <c r="J709" s="113">
        <f t="shared" si="79"/>
        <v>0.1</v>
      </c>
      <c r="K709" s="12" t="s">
        <v>631</v>
      </c>
      <c r="L709" s="12" t="s">
        <v>592</v>
      </c>
      <c r="M709" s="129">
        <v>0.1</v>
      </c>
      <c r="N709" s="142">
        <f t="shared" si="80"/>
        <v>630.24192000000016</v>
      </c>
      <c r="O709" s="128">
        <f t="shared" si="81"/>
        <v>315.12096000000008</v>
      </c>
      <c r="P709" s="159">
        <f t="shared" si="82"/>
        <v>630.20000000000005</v>
      </c>
      <c r="Q709" s="160">
        <f t="shared" si="83"/>
        <v>315.10000000000002</v>
      </c>
    </row>
    <row r="710" spans="1:17" ht="35.25" thickTop="1" thickBot="1">
      <c r="A710" s="12" t="s">
        <v>635</v>
      </c>
      <c r="B710" s="166">
        <v>1953.2</v>
      </c>
      <c r="C710" s="10" t="s">
        <v>636</v>
      </c>
      <c r="D710" s="10">
        <f>B710/30/18*18</f>
        <v>65.106666666666669</v>
      </c>
      <c r="E710" s="11">
        <v>0.25</v>
      </c>
      <c r="F710" s="27">
        <v>0.25</v>
      </c>
      <c r="G710" s="109">
        <f t="shared" si="78"/>
        <v>0.1</v>
      </c>
      <c r="H710" s="109">
        <v>0.1</v>
      </c>
      <c r="I710" s="109">
        <v>0.25</v>
      </c>
      <c r="J710" s="113">
        <f t="shared" si="79"/>
        <v>0.1</v>
      </c>
      <c r="K710" s="12" t="s">
        <v>591</v>
      </c>
      <c r="L710" s="12" t="s">
        <v>592</v>
      </c>
      <c r="M710" s="129">
        <v>0.1</v>
      </c>
      <c r="N710" s="142">
        <f t="shared" si="80"/>
        <v>601.58560000000011</v>
      </c>
      <c r="O710" s="128">
        <f t="shared" si="81"/>
        <v>240.63424000000006</v>
      </c>
      <c r="P710" s="159">
        <f t="shared" si="82"/>
        <v>601.6</v>
      </c>
      <c r="Q710" s="160">
        <f t="shared" si="83"/>
        <v>240.6</v>
      </c>
    </row>
    <row r="711" spans="1:17" ht="35.25" thickTop="1" thickBot="1">
      <c r="A711" s="12" t="s">
        <v>637</v>
      </c>
      <c r="B711" s="166">
        <v>2368</v>
      </c>
      <c r="C711" s="10" t="s">
        <v>638</v>
      </c>
      <c r="D711" s="10">
        <f>B711/60/2.5*5</f>
        <v>78.933333333333337</v>
      </c>
      <c r="E711" s="11">
        <v>0.35</v>
      </c>
      <c r="F711" s="27">
        <v>0.35</v>
      </c>
      <c r="G711" s="109">
        <f t="shared" si="78"/>
        <v>0.1</v>
      </c>
      <c r="H711" s="109">
        <v>0.1</v>
      </c>
      <c r="I711" s="109">
        <v>0.35</v>
      </c>
      <c r="J711" s="113">
        <f t="shared" si="79"/>
        <v>0.1</v>
      </c>
      <c r="K711" s="12" t="s">
        <v>591</v>
      </c>
      <c r="L711" s="12" t="s">
        <v>614</v>
      </c>
      <c r="M711" s="129">
        <v>0.1</v>
      </c>
      <c r="N711" s="142">
        <f t="shared" si="80"/>
        <v>1021.0816000000002</v>
      </c>
      <c r="O711" s="128">
        <f t="shared" si="81"/>
        <v>291.7376000000001</v>
      </c>
      <c r="P711" s="159">
        <f t="shared" si="82"/>
        <v>1021.1</v>
      </c>
      <c r="Q711" s="160">
        <f t="shared" si="83"/>
        <v>291.7</v>
      </c>
    </row>
    <row r="712" spans="1:17" ht="35.25" thickTop="1" thickBot="1">
      <c r="A712" s="12" t="s">
        <v>639</v>
      </c>
      <c r="B712" s="167">
        <v>1872.5</v>
      </c>
      <c r="C712" s="19" t="s">
        <v>640</v>
      </c>
      <c r="D712" s="10">
        <f>B712/30/10*10</f>
        <v>62.416666666666664</v>
      </c>
      <c r="E712" s="11">
        <v>0.2</v>
      </c>
      <c r="F712" s="27">
        <v>0.2</v>
      </c>
      <c r="G712" s="109">
        <f t="shared" si="78"/>
        <v>0.1</v>
      </c>
      <c r="H712" s="109">
        <v>0.1</v>
      </c>
      <c r="I712" s="109">
        <v>0.2</v>
      </c>
      <c r="J712" s="113">
        <f t="shared" si="79"/>
        <v>0.1</v>
      </c>
      <c r="K712" s="41" t="s">
        <v>591</v>
      </c>
      <c r="L712" s="41" t="s">
        <v>592</v>
      </c>
      <c r="M712" s="130">
        <v>0.1</v>
      </c>
      <c r="N712" s="142">
        <f t="shared" si="80"/>
        <v>461.38400000000007</v>
      </c>
      <c r="O712" s="128">
        <f t="shared" si="81"/>
        <v>230.69200000000004</v>
      </c>
      <c r="P712" s="159">
        <f t="shared" si="82"/>
        <v>461.4</v>
      </c>
      <c r="Q712" s="160">
        <f t="shared" si="83"/>
        <v>230.7</v>
      </c>
    </row>
    <row r="713" spans="1:17" ht="35.25" thickTop="1" thickBot="1">
      <c r="A713" s="12" t="s">
        <v>641</v>
      </c>
      <c r="B713" s="166">
        <v>3162.4</v>
      </c>
      <c r="C713" s="9" t="s">
        <v>642</v>
      </c>
      <c r="D713" s="10">
        <f>+B713/60/322*644</f>
        <v>105.41333333333333</v>
      </c>
      <c r="E713" s="11">
        <v>0.35</v>
      </c>
      <c r="F713" s="27">
        <v>0.35</v>
      </c>
      <c r="G713" s="109">
        <f t="shared" si="78"/>
        <v>0.1</v>
      </c>
      <c r="H713" s="109">
        <v>0.1</v>
      </c>
      <c r="I713" s="109">
        <v>0.35</v>
      </c>
      <c r="J713" s="113">
        <f t="shared" si="79"/>
        <v>0.1</v>
      </c>
      <c r="K713" s="12" t="s">
        <v>617</v>
      </c>
      <c r="L713" s="12" t="s">
        <v>592</v>
      </c>
      <c r="M713" s="129">
        <v>0.1</v>
      </c>
      <c r="N713" s="142">
        <f t="shared" si="80"/>
        <v>1363.6268800000003</v>
      </c>
      <c r="O713" s="128">
        <f t="shared" si="81"/>
        <v>389.60768000000013</v>
      </c>
      <c r="P713" s="159">
        <f t="shared" si="82"/>
        <v>1363.6</v>
      </c>
      <c r="Q713" s="160">
        <f t="shared" si="83"/>
        <v>389.6</v>
      </c>
    </row>
    <row r="714" spans="1:17" ht="35.25" thickTop="1" thickBot="1">
      <c r="A714" s="12" t="s">
        <v>643</v>
      </c>
      <c r="B714" s="166">
        <v>2297.6999999999998</v>
      </c>
      <c r="C714" s="70" t="s">
        <v>644</v>
      </c>
      <c r="D714" s="88">
        <f>+B714/30/44*44</f>
        <v>76.589999999999989</v>
      </c>
      <c r="E714" s="11">
        <v>0.35</v>
      </c>
      <c r="F714" s="27">
        <v>0.35</v>
      </c>
      <c r="G714" s="109">
        <f t="shared" si="78"/>
        <v>0.1</v>
      </c>
      <c r="H714" s="109">
        <v>0.1</v>
      </c>
      <c r="I714" s="109">
        <v>0.35</v>
      </c>
      <c r="J714" s="113">
        <f t="shared" si="79"/>
        <v>0.1</v>
      </c>
      <c r="K714" s="12" t="s">
        <v>591</v>
      </c>
      <c r="L714" s="12" t="s">
        <v>592</v>
      </c>
      <c r="M714" s="129">
        <v>0.1</v>
      </c>
      <c r="N714" s="142">
        <f t="shared" si="80"/>
        <v>990.76824000000011</v>
      </c>
      <c r="O714" s="128">
        <f t="shared" si="81"/>
        <v>283.07664</v>
      </c>
      <c r="P714" s="159">
        <f t="shared" si="82"/>
        <v>990.8</v>
      </c>
      <c r="Q714" s="160">
        <f t="shared" si="83"/>
        <v>283.10000000000002</v>
      </c>
    </row>
    <row r="715" spans="1:17" ht="35.25" thickTop="1" thickBot="1">
      <c r="A715" s="12" t="s">
        <v>645</v>
      </c>
      <c r="B715" s="166">
        <v>2368</v>
      </c>
      <c r="C715" s="10" t="s">
        <v>646</v>
      </c>
      <c r="D715" s="10">
        <f>+B715/30/44*44</f>
        <v>78.933333333333337</v>
      </c>
      <c r="E715" s="11">
        <v>0.35</v>
      </c>
      <c r="F715" s="27">
        <v>0.35</v>
      </c>
      <c r="G715" s="109">
        <f t="shared" si="78"/>
        <v>0.1</v>
      </c>
      <c r="H715" s="109">
        <v>0.1</v>
      </c>
      <c r="I715" s="109">
        <v>0.35</v>
      </c>
      <c r="J715" s="113">
        <f t="shared" si="79"/>
        <v>0.1</v>
      </c>
      <c r="K715" s="12" t="s">
        <v>591</v>
      </c>
      <c r="L715" s="12" t="s">
        <v>592</v>
      </c>
      <c r="M715" s="129">
        <v>0.1</v>
      </c>
      <c r="N715" s="142">
        <f t="shared" si="80"/>
        <v>1021.0816000000002</v>
      </c>
      <c r="O715" s="128">
        <f t="shared" si="81"/>
        <v>291.7376000000001</v>
      </c>
      <c r="P715" s="159">
        <f t="shared" si="82"/>
        <v>1021.1</v>
      </c>
      <c r="Q715" s="160">
        <f t="shared" si="83"/>
        <v>291.7</v>
      </c>
    </row>
    <row r="716" spans="1:17" ht="69" thickTop="1" thickBot="1">
      <c r="A716" s="12" t="s">
        <v>647</v>
      </c>
      <c r="B716" s="166">
        <v>673.4</v>
      </c>
      <c r="C716" s="10" t="s">
        <v>92</v>
      </c>
      <c r="D716" s="10">
        <f>B716/28/10*10</f>
        <v>24.050000000000004</v>
      </c>
      <c r="E716" s="11">
        <v>0.35</v>
      </c>
      <c r="F716" s="27">
        <v>0.35</v>
      </c>
      <c r="G716" s="109">
        <f t="shared" si="78"/>
        <v>0.1</v>
      </c>
      <c r="H716" s="109">
        <v>0.1</v>
      </c>
      <c r="I716" s="109">
        <v>0.35</v>
      </c>
      <c r="J716" s="113">
        <f t="shared" si="79"/>
        <v>0.1</v>
      </c>
      <c r="K716" s="12" t="s">
        <v>648</v>
      </c>
      <c r="L716" s="12" t="s">
        <v>649</v>
      </c>
      <c r="M716" s="129">
        <v>0.1</v>
      </c>
      <c r="N716" s="142">
        <f t="shared" si="80"/>
        <v>290.37008000000003</v>
      </c>
      <c r="O716" s="128">
        <f t="shared" si="81"/>
        <v>82.962880000000027</v>
      </c>
      <c r="P716" s="159">
        <f t="shared" si="82"/>
        <v>290.39999999999998</v>
      </c>
      <c r="Q716" s="160">
        <f t="shared" si="83"/>
        <v>83</v>
      </c>
    </row>
    <row r="717" spans="1:17" ht="69" thickTop="1" thickBot="1">
      <c r="A717" s="12" t="s">
        <v>650</v>
      </c>
      <c r="B717" s="166">
        <v>673.4</v>
      </c>
      <c r="C717" s="10" t="s">
        <v>92</v>
      </c>
      <c r="D717" s="10">
        <f>B717/28/10*10</f>
        <v>24.050000000000004</v>
      </c>
      <c r="E717" s="11">
        <v>0.35</v>
      </c>
      <c r="F717" s="27">
        <v>0.35</v>
      </c>
      <c r="G717" s="109">
        <f t="shared" si="78"/>
        <v>0.1</v>
      </c>
      <c r="H717" s="109">
        <v>0.1</v>
      </c>
      <c r="I717" s="109">
        <v>0.35</v>
      </c>
      <c r="J717" s="113">
        <f t="shared" si="79"/>
        <v>0.1</v>
      </c>
      <c r="K717" s="12" t="s">
        <v>648</v>
      </c>
      <c r="L717" s="12" t="s">
        <v>649</v>
      </c>
      <c r="M717" s="129">
        <v>0.1</v>
      </c>
      <c r="N717" s="142">
        <f t="shared" si="80"/>
        <v>290.37008000000003</v>
      </c>
      <c r="O717" s="128">
        <f t="shared" si="81"/>
        <v>82.962880000000027</v>
      </c>
      <c r="P717" s="159">
        <f t="shared" si="82"/>
        <v>290.39999999999998</v>
      </c>
      <c r="Q717" s="160">
        <f t="shared" si="83"/>
        <v>83</v>
      </c>
    </row>
    <row r="718" spans="1:17" ht="69" thickTop="1" thickBot="1">
      <c r="A718" s="12" t="s">
        <v>651</v>
      </c>
      <c r="B718" s="166">
        <v>673.4</v>
      </c>
      <c r="C718" s="10" t="s">
        <v>92</v>
      </c>
      <c r="D718" s="10">
        <f>B718/28/10*10</f>
        <v>24.050000000000004</v>
      </c>
      <c r="E718" s="11">
        <v>0.35</v>
      </c>
      <c r="F718" s="27">
        <v>0.35</v>
      </c>
      <c r="G718" s="109">
        <f t="shared" si="78"/>
        <v>0.1</v>
      </c>
      <c r="H718" s="109">
        <v>0.1</v>
      </c>
      <c r="I718" s="109">
        <v>0.35</v>
      </c>
      <c r="J718" s="113">
        <f t="shared" si="79"/>
        <v>0.1</v>
      </c>
      <c r="K718" s="12" t="s">
        <v>648</v>
      </c>
      <c r="L718" s="12" t="s">
        <v>649</v>
      </c>
      <c r="M718" s="129">
        <v>0.1</v>
      </c>
      <c r="N718" s="142">
        <f t="shared" si="80"/>
        <v>290.37008000000003</v>
      </c>
      <c r="O718" s="128">
        <f t="shared" si="81"/>
        <v>82.962880000000027</v>
      </c>
      <c r="P718" s="159">
        <f t="shared" si="82"/>
        <v>290.39999999999998</v>
      </c>
      <c r="Q718" s="160">
        <f t="shared" si="83"/>
        <v>83</v>
      </c>
    </row>
    <row r="719" spans="1:17" ht="35.25" thickTop="1" thickBot="1">
      <c r="A719" s="12" t="s">
        <v>652</v>
      </c>
      <c r="B719" s="166">
        <v>3409.6</v>
      </c>
      <c r="C719" s="9" t="s">
        <v>316</v>
      </c>
      <c r="D719" s="10">
        <f>B719/30/500*500</f>
        <v>113.65333333333334</v>
      </c>
      <c r="E719" s="11">
        <v>0.6</v>
      </c>
      <c r="F719" s="27">
        <v>0.6</v>
      </c>
      <c r="G719" s="109">
        <f t="shared" si="78"/>
        <v>0.19999999999999996</v>
      </c>
      <c r="H719" s="109">
        <v>0.19999999999999996</v>
      </c>
      <c r="I719" s="109">
        <v>0.6</v>
      </c>
      <c r="J719" s="113">
        <f t="shared" si="79"/>
        <v>0.19999999999999996</v>
      </c>
      <c r="K719" s="12" t="s">
        <v>653</v>
      </c>
      <c r="L719" s="12" t="s">
        <v>654</v>
      </c>
      <c r="M719" s="129">
        <v>0.19999999999999996</v>
      </c>
      <c r="N719" s="142">
        <f t="shared" si="80"/>
        <v>2520.3763200000003</v>
      </c>
      <c r="O719" s="128">
        <f t="shared" si="81"/>
        <v>840.12543999999991</v>
      </c>
      <c r="P719" s="159">
        <f t="shared" si="82"/>
        <v>2520.4</v>
      </c>
      <c r="Q719" s="160">
        <f t="shared" si="83"/>
        <v>840.1</v>
      </c>
    </row>
    <row r="720" spans="1:17" thickTop="1" thickBot="1">
      <c r="A720" s="12" t="s">
        <v>655</v>
      </c>
      <c r="B720" s="166">
        <v>160.19999999999999</v>
      </c>
      <c r="C720" s="10" t="s">
        <v>656</v>
      </c>
      <c r="D720" s="10">
        <f>B720/20/1*2</f>
        <v>16.02</v>
      </c>
      <c r="E720" s="1">
        <v>0.5</v>
      </c>
      <c r="F720" s="95">
        <v>0.5</v>
      </c>
      <c r="G720" s="109">
        <f t="shared" si="78"/>
        <v>9.9999999999999978E-2</v>
      </c>
      <c r="H720" s="109">
        <v>9.9999999999999978E-2</v>
      </c>
      <c r="I720" s="109">
        <v>0.5</v>
      </c>
      <c r="J720" s="113">
        <f t="shared" si="79"/>
        <v>9.9999999999999978E-2</v>
      </c>
      <c r="K720" s="12"/>
      <c r="L720" s="12" t="s">
        <v>657</v>
      </c>
      <c r="M720" s="129">
        <v>9.9999999999999978E-2</v>
      </c>
      <c r="N720" s="142">
        <f t="shared" si="80"/>
        <v>98.683200000000014</v>
      </c>
      <c r="O720" s="128">
        <f t="shared" si="81"/>
        <v>19.736639999999998</v>
      </c>
      <c r="P720" s="159">
        <f t="shared" si="82"/>
        <v>98.7</v>
      </c>
      <c r="Q720" s="160">
        <f t="shared" si="83"/>
        <v>19.7</v>
      </c>
    </row>
    <row r="721" spans="1:17" thickTop="1" thickBot="1">
      <c r="A721" s="12" t="s">
        <v>658</v>
      </c>
      <c r="B721" s="166">
        <v>469.8</v>
      </c>
      <c r="C721" s="10" t="s">
        <v>15</v>
      </c>
      <c r="D721" s="10" t="s">
        <v>15</v>
      </c>
      <c r="E721" s="11">
        <v>0.9</v>
      </c>
      <c r="F721" s="27">
        <v>0.9</v>
      </c>
      <c r="G721" s="109">
        <f t="shared" si="78"/>
        <v>0.5</v>
      </c>
      <c r="H721" s="109">
        <v>0.5</v>
      </c>
      <c r="I721" s="109">
        <v>0.9</v>
      </c>
      <c r="J721" s="113">
        <f t="shared" si="79"/>
        <v>0.5</v>
      </c>
      <c r="K721" s="12" t="s">
        <v>659</v>
      </c>
      <c r="L721" s="12"/>
      <c r="M721" s="129">
        <v>0.5</v>
      </c>
      <c r="N721" s="142">
        <f t="shared" si="80"/>
        <v>520.91424000000006</v>
      </c>
      <c r="O721" s="128">
        <f t="shared" si="81"/>
        <v>289.39680000000004</v>
      </c>
      <c r="P721" s="159">
        <f t="shared" si="82"/>
        <v>520.9</v>
      </c>
      <c r="Q721" s="160">
        <f t="shared" si="83"/>
        <v>289.39999999999998</v>
      </c>
    </row>
    <row r="722" spans="1:17" thickTop="1" thickBot="1">
      <c r="A722" s="12" t="s">
        <v>660</v>
      </c>
      <c r="B722" s="166">
        <v>536.6</v>
      </c>
      <c r="C722" s="10" t="s">
        <v>15</v>
      </c>
      <c r="D722" s="10" t="s">
        <v>15</v>
      </c>
      <c r="E722" s="11">
        <v>0.9</v>
      </c>
      <c r="F722" s="27">
        <v>0.9</v>
      </c>
      <c r="G722" s="109">
        <f t="shared" si="78"/>
        <v>0.5</v>
      </c>
      <c r="H722" s="109">
        <v>0.5</v>
      </c>
      <c r="I722" s="109">
        <v>0.9</v>
      </c>
      <c r="J722" s="113">
        <f t="shared" si="79"/>
        <v>0.5</v>
      </c>
      <c r="K722" s="12" t="s">
        <v>659</v>
      </c>
      <c r="L722" s="12"/>
      <c r="M722" s="129">
        <v>0.5</v>
      </c>
      <c r="N722" s="142">
        <f t="shared" si="80"/>
        <v>594.98208000000011</v>
      </c>
      <c r="O722" s="128">
        <f t="shared" si="81"/>
        <v>330.54560000000009</v>
      </c>
      <c r="P722" s="159">
        <f t="shared" si="82"/>
        <v>595</v>
      </c>
      <c r="Q722" s="160">
        <f t="shared" si="83"/>
        <v>330.5</v>
      </c>
    </row>
    <row r="723" spans="1:17" thickTop="1" thickBot="1">
      <c r="A723" s="12" t="s">
        <v>661</v>
      </c>
      <c r="B723" s="166">
        <v>246.1</v>
      </c>
      <c r="C723" s="10" t="s">
        <v>15</v>
      </c>
      <c r="D723" s="10" t="s">
        <v>15</v>
      </c>
      <c r="E723" s="11">
        <v>0.55000000000000004</v>
      </c>
      <c r="F723" s="27">
        <v>0.55000000000000004</v>
      </c>
      <c r="G723" s="109">
        <f t="shared" si="78"/>
        <v>0.15000000000000002</v>
      </c>
      <c r="H723" s="109">
        <v>0.15000000000000002</v>
      </c>
      <c r="I723" s="109">
        <v>0.55000000000000004</v>
      </c>
      <c r="J723" s="113">
        <f t="shared" si="79"/>
        <v>0.15000000000000002</v>
      </c>
      <c r="K723" s="12"/>
      <c r="L723" s="12"/>
      <c r="M723" s="129">
        <v>0.15000000000000002</v>
      </c>
      <c r="N723" s="142">
        <f t="shared" si="80"/>
        <v>166.75736000000003</v>
      </c>
      <c r="O723" s="128">
        <f t="shared" si="81"/>
        <v>45.479280000000017</v>
      </c>
      <c r="P723" s="159">
        <f t="shared" si="82"/>
        <v>166.8</v>
      </c>
      <c r="Q723" s="160">
        <f t="shared" si="83"/>
        <v>45.5</v>
      </c>
    </row>
    <row r="724" spans="1:17" thickTop="1" thickBot="1">
      <c r="A724" s="12" t="s">
        <v>662</v>
      </c>
      <c r="B724" s="166">
        <v>275.5</v>
      </c>
      <c r="C724" s="10" t="s">
        <v>663</v>
      </c>
      <c r="D724" s="10">
        <f>B724/1/5*0.2</f>
        <v>11.020000000000001</v>
      </c>
      <c r="E724" s="11">
        <v>0.45</v>
      </c>
      <c r="F724" s="27">
        <v>0.45</v>
      </c>
      <c r="G724" s="109">
        <f t="shared" si="78"/>
        <v>0.1</v>
      </c>
      <c r="H724" s="109">
        <v>0.1</v>
      </c>
      <c r="I724" s="109">
        <v>0.45</v>
      </c>
      <c r="J724" s="113">
        <f t="shared" si="79"/>
        <v>0.1</v>
      </c>
      <c r="K724" s="12"/>
      <c r="L724" s="12" t="s">
        <v>664</v>
      </c>
      <c r="M724" s="129">
        <v>0.1</v>
      </c>
      <c r="N724" s="142">
        <f t="shared" si="80"/>
        <v>152.73720000000006</v>
      </c>
      <c r="O724" s="128">
        <f t="shared" si="81"/>
        <v>33.941600000000008</v>
      </c>
      <c r="P724" s="159">
        <f t="shared" si="82"/>
        <v>152.69999999999999</v>
      </c>
      <c r="Q724" s="160">
        <f t="shared" si="83"/>
        <v>33.9</v>
      </c>
    </row>
    <row r="725" spans="1:17" thickTop="1" thickBot="1">
      <c r="A725" s="12" t="s">
        <v>665</v>
      </c>
      <c r="B725" s="166">
        <v>470.7</v>
      </c>
      <c r="C725" s="10" t="s">
        <v>663</v>
      </c>
      <c r="D725" s="10">
        <f>B725/1/10*0.2</f>
        <v>9.4139999999999997</v>
      </c>
      <c r="E725" s="11">
        <v>0.25</v>
      </c>
      <c r="F725" s="27">
        <v>0.25</v>
      </c>
      <c r="G725" s="109">
        <f t="shared" si="78"/>
        <v>0.1</v>
      </c>
      <c r="H725" s="109">
        <v>0.1</v>
      </c>
      <c r="I725" s="109">
        <v>0.25</v>
      </c>
      <c r="J725" s="113">
        <f t="shared" si="79"/>
        <v>0.1</v>
      </c>
      <c r="K725" s="12"/>
      <c r="L725" s="12" t="s">
        <v>664</v>
      </c>
      <c r="M725" s="129">
        <v>0.1</v>
      </c>
      <c r="N725" s="142">
        <f t="shared" si="80"/>
        <v>144.97560000000004</v>
      </c>
      <c r="O725" s="128">
        <f t="shared" si="81"/>
        <v>57.990240000000007</v>
      </c>
      <c r="P725" s="159">
        <f t="shared" si="82"/>
        <v>145</v>
      </c>
      <c r="Q725" s="160">
        <f t="shared" si="83"/>
        <v>58</v>
      </c>
    </row>
    <row r="726" spans="1:17" thickTop="1" thickBot="1">
      <c r="A726" s="12" t="s">
        <v>666</v>
      </c>
      <c r="B726" s="167">
        <v>211.9</v>
      </c>
      <c r="C726" s="10" t="s">
        <v>663</v>
      </c>
      <c r="D726" s="10">
        <f>+B726/5*0.2</f>
        <v>8.4760000000000009</v>
      </c>
      <c r="E726" s="11">
        <v>0.25</v>
      </c>
      <c r="F726" s="27">
        <v>0.25</v>
      </c>
      <c r="G726" s="109">
        <f t="shared" si="78"/>
        <v>0.1</v>
      </c>
      <c r="H726" s="109">
        <v>0.1</v>
      </c>
      <c r="I726" s="109">
        <v>0.25</v>
      </c>
      <c r="J726" s="113">
        <f t="shared" si="79"/>
        <v>0.1</v>
      </c>
      <c r="K726" s="12"/>
      <c r="L726" s="12" t="s">
        <v>664</v>
      </c>
      <c r="M726" s="129">
        <v>0.1</v>
      </c>
      <c r="N726" s="142">
        <f t="shared" si="80"/>
        <v>65.265200000000007</v>
      </c>
      <c r="O726" s="128">
        <f t="shared" si="81"/>
        <v>26.106080000000006</v>
      </c>
      <c r="P726" s="159">
        <f t="shared" si="82"/>
        <v>65.3</v>
      </c>
      <c r="Q726" s="160">
        <f t="shared" si="83"/>
        <v>26.1</v>
      </c>
    </row>
    <row r="727" spans="1:17" thickTop="1" thickBot="1">
      <c r="A727" s="57" t="s">
        <v>701</v>
      </c>
      <c r="B727" s="167">
        <v>211.9</v>
      </c>
      <c r="C727" s="10" t="s">
        <v>663</v>
      </c>
      <c r="D727" s="10">
        <f>+B727/5*0.2</f>
        <v>8.4760000000000009</v>
      </c>
      <c r="E727" s="11">
        <v>0.25</v>
      </c>
      <c r="F727" s="27">
        <v>0.25</v>
      </c>
      <c r="G727" s="109">
        <f t="shared" si="78"/>
        <v>0.1</v>
      </c>
      <c r="H727" s="109">
        <v>0.1</v>
      </c>
      <c r="I727" s="109">
        <v>0.25</v>
      </c>
      <c r="J727" s="113">
        <f t="shared" si="79"/>
        <v>0.1</v>
      </c>
      <c r="K727" s="12"/>
      <c r="L727" s="12" t="s">
        <v>664</v>
      </c>
      <c r="M727" s="129">
        <v>0.1</v>
      </c>
      <c r="N727" s="142">
        <f t="shared" si="80"/>
        <v>65.265200000000007</v>
      </c>
      <c r="O727" s="128">
        <f t="shared" si="81"/>
        <v>26.106080000000006</v>
      </c>
      <c r="P727" s="159">
        <f t="shared" si="82"/>
        <v>65.3</v>
      </c>
      <c r="Q727" s="160">
        <f t="shared" si="83"/>
        <v>26.1</v>
      </c>
    </row>
    <row r="728" spans="1:17" ht="24" thickTop="1" thickBot="1">
      <c r="A728" s="57" t="s">
        <v>728</v>
      </c>
      <c r="B728" s="167">
        <v>211.9</v>
      </c>
      <c r="C728" s="10" t="s">
        <v>663</v>
      </c>
      <c r="D728" s="10">
        <f>+B728/5*0.2</f>
        <v>8.4760000000000009</v>
      </c>
      <c r="E728" s="11">
        <v>0.25</v>
      </c>
      <c r="F728" s="27">
        <v>0.25</v>
      </c>
      <c r="G728" s="109">
        <f t="shared" si="78"/>
        <v>0.1</v>
      </c>
      <c r="H728" s="109">
        <v>0.1</v>
      </c>
      <c r="I728" s="109">
        <v>0.25</v>
      </c>
      <c r="J728" s="113">
        <f t="shared" si="79"/>
        <v>0.1</v>
      </c>
      <c r="K728" s="12"/>
      <c r="L728" s="12" t="s">
        <v>664</v>
      </c>
      <c r="M728" s="129">
        <v>0.1</v>
      </c>
      <c r="N728" s="142">
        <f t="shared" si="80"/>
        <v>65.265200000000007</v>
      </c>
      <c r="O728" s="128">
        <f t="shared" si="81"/>
        <v>26.106080000000006</v>
      </c>
      <c r="P728" s="159">
        <f t="shared" si="82"/>
        <v>65.3</v>
      </c>
      <c r="Q728" s="160">
        <f t="shared" si="83"/>
        <v>26.1</v>
      </c>
    </row>
    <row r="729" spans="1:17" ht="46.5" thickTop="1" thickBot="1">
      <c r="A729" s="12" t="s">
        <v>669</v>
      </c>
      <c r="B729" s="167">
        <v>946.7</v>
      </c>
      <c r="C729" s="9" t="s">
        <v>663</v>
      </c>
      <c r="D729" s="10">
        <f>B729/5*0.2</f>
        <v>37.868000000000002</v>
      </c>
      <c r="E729" s="11">
        <v>0.45</v>
      </c>
      <c r="F729" s="27">
        <v>0.45</v>
      </c>
      <c r="G729" s="109">
        <f t="shared" si="78"/>
        <v>0.1</v>
      </c>
      <c r="H729" s="109">
        <v>0.1</v>
      </c>
      <c r="I729" s="109">
        <v>0.45</v>
      </c>
      <c r="J729" s="113">
        <f t="shared" si="79"/>
        <v>0.1</v>
      </c>
      <c r="K729" s="12" t="s">
        <v>670</v>
      </c>
      <c r="L729" s="12" t="s">
        <v>671</v>
      </c>
      <c r="M729" s="129">
        <v>0.1</v>
      </c>
      <c r="N729" s="142">
        <f t="shared" si="80"/>
        <v>524.85048000000018</v>
      </c>
      <c r="O729" s="128">
        <f t="shared" si="81"/>
        <v>116.63344000000004</v>
      </c>
      <c r="P729" s="159">
        <f t="shared" si="82"/>
        <v>524.9</v>
      </c>
      <c r="Q729" s="160">
        <f t="shared" si="83"/>
        <v>116.6</v>
      </c>
    </row>
    <row r="730" spans="1:17" ht="46.5" thickTop="1" thickBot="1">
      <c r="A730" s="12" t="s">
        <v>672</v>
      </c>
      <c r="B730" s="167">
        <v>911.6</v>
      </c>
      <c r="C730" s="10" t="s">
        <v>673</v>
      </c>
      <c r="D730" s="10">
        <f>B730/3*0.1</f>
        <v>30.38666666666667</v>
      </c>
      <c r="E730" s="2">
        <v>0.45</v>
      </c>
      <c r="F730" s="96">
        <v>0.45</v>
      </c>
      <c r="G730" s="109">
        <f t="shared" si="78"/>
        <v>0.1</v>
      </c>
      <c r="H730" s="109">
        <v>0.1</v>
      </c>
      <c r="I730" s="109">
        <v>0.45</v>
      </c>
      <c r="J730" s="113">
        <f t="shared" si="79"/>
        <v>0.1</v>
      </c>
      <c r="K730" s="12" t="s">
        <v>674</v>
      </c>
      <c r="L730" s="12" t="s">
        <v>675</v>
      </c>
      <c r="M730" s="129">
        <v>0.1</v>
      </c>
      <c r="N730" s="142">
        <f t="shared" si="80"/>
        <v>505.39104000000015</v>
      </c>
      <c r="O730" s="128">
        <f t="shared" si="81"/>
        <v>112.30912000000004</v>
      </c>
      <c r="P730" s="159">
        <f t="shared" si="82"/>
        <v>505.4</v>
      </c>
      <c r="Q730" s="160">
        <f t="shared" si="83"/>
        <v>112.3</v>
      </c>
    </row>
    <row r="731" spans="1:17" ht="46.5" thickTop="1" thickBot="1">
      <c r="A731" s="12" t="s">
        <v>676</v>
      </c>
      <c r="B731" s="167">
        <v>787.4</v>
      </c>
      <c r="C731" s="10" t="s">
        <v>673</v>
      </c>
      <c r="D731" s="10">
        <f>B731/3*0.1</f>
        <v>26.246666666666666</v>
      </c>
      <c r="E731" s="2">
        <v>0.35</v>
      </c>
      <c r="F731" s="96">
        <v>0.35</v>
      </c>
      <c r="G731" s="109">
        <f t="shared" si="78"/>
        <v>0.1</v>
      </c>
      <c r="H731" s="109">
        <v>0.1</v>
      </c>
      <c r="I731" s="109">
        <v>0.35</v>
      </c>
      <c r="J731" s="113">
        <f t="shared" si="79"/>
        <v>0.1</v>
      </c>
      <c r="K731" s="12" t="s">
        <v>674</v>
      </c>
      <c r="L731" s="12" t="s">
        <v>675</v>
      </c>
      <c r="M731" s="129">
        <v>0.1</v>
      </c>
      <c r="N731" s="142">
        <f t="shared" si="80"/>
        <v>339.52688000000001</v>
      </c>
      <c r="O731" s="128">
        <f t="shared" si="81"/>
        <v>97.007680000000022</v>
      </c>
      <c r="P731" s="159">
        <f t="shared" si="82"/>
        <v>339.5</v>
      </c>
      <c r="Q731" s="160">
        <f t="shared" si="83"/>
        <v>97</v>
      </c>
    </row>
    <row r="732" spans="1:17" ht="46.5" thickTop="1" thickBot="1">
      <c r="A732" s="16" t="s">
        <v>677</v>
      </c>
      <c r="B732" s="166">
        <v>361.8</v>
      </c>
      <c r="C732" s="29" t="s">
        <v>663</v>
      </c>
      <c r="D732" s="29">
        <f>B732/5*0.2</f>
        <v>14.472000000000001</v>
      </c>
      <c r="E732" s="1">
        <v>0.3</v>
      </c>
      <c r="F732" s="95">
        <v>0.3</v>
      </c>
      <c r="G732" s="109">
        <f t="shared" si="78"/>
        <v>0.1</v>
      </c>
      <c r="H732" s="109">
        <v>0.1</v>
      </c>
      <c r="I732" s="109">
        <v>0.3</v>
      </c>
      <c r="J732" s="113">
        <f t="shared" si="79"/>
        <v>0.1</v>
      </c>
      <c r="K732" s="59" t="s">
        <v>674</v>
      </c>
      <c r="L732" s="59" t="s">
        <v>678</v>
      </c>
      <c r="M732" s="140">
        <v>0.1</v>
      </c>
      <c r="N732" s="142">
        <f t="shared" si="80"/>
        <v>133.72128000000004</v>
      </c>
      <c r="O732" s="128">
        <f t="shared" si="81"/>
        <v>44.573760000000014</v>
      </c>
      <c r="P732" s="159">
        <f t="shared" si="82"/>
        <v>133.69999999999999</v>
      </c>
      <c r="Q732" s="160">
        <f t="shared" si="83"/>
        <v>44.6</v>
      </c>
    </row>
    <row r="733" spans="1:17" ht="46.5" thickTop="1" thickBot="1">
      <c r="A733" s="12" t="s">
        <v>679</v>
      </c>
      <c r="B733" s="167">
        <v>1620.4</v>
      </c>
      <c r="C733" s="92" t="s">
        <v>663</v>
      </c>
      <c r="D733" s="29">
        <f>B733/10*0.2</f>
        <v>32.408000000000008</v>
      </c>
      <c r="E733" s="3">
        <v>0.7</v>
      </c>
      <c r="F733" s="98">
        <v>0.7</v>
      </c>
      <c r="G733" s="109">
        <f t="shared" si="78"/>
        <v>0.29999999999999993</v>
      </c>
      <c r="H733" s="109">
        <v>0.29999999999999993</v>
      </c>
      <c r="I733" s="109">
        <v>0.7</v>
      </c>
      <c r="J733" s="113">
        <f t="shared" si="79"/>
        <v>0.29999999999999993</v>
      </c>
      <c r="K733" s="59" t="s">
        <v>674</v>
      </c>
      <c r="L733" s="59" t="s">
        <v>678</v>
      </c>
      <c r="M733" s="140">
        <v>0.29999999999999993</v>
      </c>
      <c r="N733" s="142">
        <f t="shared" si="80"/>
        <v>1397.4329600000003</v>
      </c>
      <c r="O733" s="128">
        <f t="shared" si="81"/>
        <v>598.89984000000004</v>
      </c>
      <c r="P733" s="159">
        <f t="shared" si="82"/>
        <v>1397.4</v>
      </c>
      <c r="Q733" s="160">
        <f t="shared" si="83"/>
        <v>598.9</v>
      </c>
    </row>
    <row r="734" spans="1:17" ht="46.5" thickTop="1" thickBot="1">
      <c r="A734" s="16" t="s">
        <v>680</v>
      </c>
      <c r="B734" s="166">
        <v>562</v>
      </c>
      <c r="C734" s="30" t="s">
        <v>673</v>
      </c>
      <c r="D734" s="30">
        <f>B734/1/2.5*0.1</f>
        <v>22.480000000000004</v>
      </c>
      <c r="E734" s="18">
        <v>0.3</v>
      </c>
      <c r="F734" s="34">
        <v>0.3</v>
      </c>
      <c r="G734" s="109">
        <f t="shared" si="78"/>
        <v>0.1</v>
      </c>
      <c r="H734" s="109">
        <v>0.1</v>
      </c>
      <c r="I734" s="109">
        <v>0.3</v>
      </c>
      <c r="J734" s="113">
        <f t="shared" si="79"/>
        <v>0.1</v>
      </c>
      <c r="K734" s="16" t="s">
        <v>681</v>
      </c>
      <c r="L734" s="16" t="s">
        <v>675</v>
      </c>
      <c r="M734" s="134">
        <v>0.1</v>
      </c>
      <c r="N734" s="142">
        <f t="shared" si="80"/>
        <v>207.71520000000004</v>
      </c>
      <c r="O734" s="128">
        <f t="shared" si="81"/>
        <v>69.238400000000013</v>
      </c>
      <c r="P734" s="159">
        <f t="shared" si="82"/>
        <v>207.7</v>
      </c>
      <c r="Q734" s="160">
        <f t="shared" si="83"/>
        <v>69.2</v>
      </c>
    </row>
    <row r="735" spans="1:17" ht="46.5" thickTop="1" thickBot="1">
      <c r="A735" s="16" t="s">
        <v>682</v>
      </c>
      <c r="B735" s="166">
        <v>806.1</v>
      </c>
      <c r="C735" s="30" t="s">
        <v>683</v>
      </c>
      <c r="D735" s="30">
        <f>+B735/2.5*0.1</f>
        <v>32.244</v>
      </c>
      <c r="E735" s="18">
        <v>0.6</v>
      </c>
      <c r="F735" s="34">
        <v>0.6</v>
      </c>
      <c r="G735" s="109">
        <f t="shared" si="78"/>
        <v>0.19999999999999996</v>
      </c>
      <c r="H735" s="109">
        <v>0.19999999999999996</v>
      </c>
      <c r="I735" s="109">
        <v>0.6</v>
      </c>
      <c r="J735" s="113">
        <f t="shared" si="79"/>
        <v>0.19999999999999996</v>
      </c>
      <c r="K735" s="16" t="s">
        <v>674</v>
      </c>
      <c r="L735" s="16" t="s">
        <v>675</v>
      </c>
      <c r="M735" s="134">
        <v>0.19999999999999996</v>
      </c>
      <c r="N735" s="142">
        <f t="shared" si="80"/>
        <v>595.86912000000007</v>
      </c>
      <c r="O735" s="128">
        <f t="shared" si="81"/>
        <v>198.62304</v>
      </c>
      <c r="P735" s="159">
        <f t="shared" si="82"/>
        <v>595.9</v>
      </c>
      <c r="Q735" s="160">
        <f t="shared" si="83"/>
        <v>198.6</v>
      </c>
    </row>
    <row r="736" spans="1:17" ht="46.5" thickTop="1" thickBot="1">
      <c r="A736" s="16" t="s">
        <v>684</v>
      </c>
      <c r="B736" s="167">
        <v>969</v>
      </c>
      <c r="C736" s="9" t="s">
        <v>685</v>
      </c>
      <c r="D736" s="10">
        <f>+B736/5*0.2</f>
        <v>38.760000000000005</v>
      </c>
      <c r="E736" s="11">
        <v>0.5</v>
      </c>
      <c r="F736" s="27">
        <v>0.5</v>
      </c>
      <c r="G736" s="109">
        <f t="shared" si="78"/>
        <v>9.9999999999999978E-2</v>
      </c>
      <c r="H736" s="109">
        <v>9.9999999999999978E-2</v>
      </c>
      <c r="I736" s="109">
        <v>0.5</v>
      </c>
      <c r="J736" s="113">
        <f t="shared" si="79"/>
        <v>9.9999999999999978E-2</v>
      </c>
      <c r="K736" s="16" t="s">
        <v>674</v>
      </c>
      <c r="L736" s="16" t="s">
        <v>675</v>
      </c>
      <c r="M736" s="134">
        <v>9.9999999999999978E-2</v>
      </c>
      <c r="N736" s="142">
        <f t="shared" si="80"/>
        <v>596.90400000000011</v>
      </c>
      <c r="O736" s="128">
        <f t="shared" si="81"/>
        <v>119.38079999999999</v>
      </c>
      <c r="P736" s="159">
        <f t="shared" si="82"/>
        <v>596.9</v>
      </c>
      <c r="Q736" s="160">
        <f t="shared" si="83"/>
        <v>119.4</v>
      </c>
    </row>
    <row r="737" spans="1:17" ht="69" thickTop="1" thickBot="1">
      <c r="A737" s="12" t="s">
        <v>686</v>
      </c>
      <c r="B737" s="166">
        <v>629.20000000000005</v>
      </c>
      <c r="C737" s="10" t="s">
        <v>673</v>
      </c>
      <c r="D737" s="10">
        <f>B737/3*0.1</f>
        <v>20.973333333333336</v>
      </c>
      <c r="E737" s="2">
        <v>0.45</v>
      </c>
      <c r="F737" s="96">
        <v>0.45</v>
      </c>
      <c r="G737" s="109">
        <f t="shared" si="78"/>
        <v>0.1</v>
      </c>
      <c r="H737" s="109">
        <v>0.1</v>
      </c>
      <c r="I737" s="109">
        <v>0.45</v>
      </c>
      <c r="J737" s="113">
        <f t="shared" si="79"/>
        <v>0.1</v>
      </c>
      <c r="K737" s="12" t="s">
        <v>667</v>
      </c>
      <c r="L737" s="12" t="s">
        <v>664</v>
      </c>
      <c r="M737" s="129">
        <v>0.1</v>
      </c>
      <c r="N737" s="142">
        <f t="shared" si="80"/>
        <v>348.82848000000013</v>
      </c>
      <c r="O737" s="128">
        <f t="shared" si="81"/>
        <v>77.517440000000022</v>
      </c>
      <c r="P737" s="159">
        <f t="shared" si="82"/>
        <v>348.8</v>
      </c>
      <c r="Q737" s="160">
        <f t="shared" si="83"/>
        <v>77.5</v>
      </c>
    </row>
    <row r="738" spans="1:17" ht="69" thickTop="1" thickBot="1">
      <c r="A738" s="17" t="s">
        <v>687</v>
      </c>
      <c r="B738" s="167">
        <v>597.6</v>
      </c>
      <c r="C738" s="10" t="s">
        <v>673</v>
      </c>
      <c r="D738" s="10">
        <f>B738/3*0.1</f>
        <v>19.920000000000002</v>
      </c>
      <c r="E738" s="2">
        <v>0.25</v>
      </c>
      <c r="F738" s="96">
        <v>0.25</v>
      </c>
      <c r="G738" s="109">
        <f t="shared" si="78"/>
        <v>0.1</v>
      </c>
      <c r="H738" s="109">
        <v>0.1</v>
      </c>
      <c r="I738" s="109">
        <v>0.25</v>
      </c>
      <c r="J738" s="113">
        <f t="shared" si="79"/>
        <v>0.1</v>
      </c>
      <c r="K738" s="12" t="s">
        <v>667</v>
      </c>
      <c r="L738" s="12" t="s">
        <v>664</v>
      </c>
      <c r="M738" s="129">
        <v>0.1</v>
      </c>
      <c r="N738" s="142">
        <f t="shared" si="80"/>
        <v>184.06080000000006</v>
      </c>
      <c r="O738" s="128">
        <f t="shared" si="81"/>
        <v>73.624320000000026</v>
      </c>
      <c r="P738" s="159">
        <f t="shared" si="82"/>
        <v>184.1</v>
      </c>
      <c r="Q738" s="160">
        <f t="shared" si="83"/>
        <v>73.599999999999994</v>
      </c>
    </row>
    <row r="739" spans="1:17" ht="69" thickTop="1" thickBot="1">
      <c r="A739" s="12" t="s">
        <v>688</v>
      </c>
      <c r="B739" s="167">
        <v>597.6</v>
      </c>
      <c r="C739" s="10" t="s">
        <v>673</v>
      </c>
      <c r="D739" s="10">
        <f>+B739/3*0.1</f>
        <v>19.920000000000002</v>
      </c>
      <c r="E739" s="2">
        <v>0.25</v>
      </c>
      <c r="F739" s="96">
        <v>0.25</v>
      </c>
      <c r="G739" s="109">
        <f t="shared" si="78"/>
        <v>0.1</v>
      </c>
      <c r="H739" s="109">
        <v>0.1</v>
      </c>
      <c r="I739" s="109">
        <v>0.25</v>
      </c>
      <c r="J739" s="113">
        <f t="shared" si="79"/>
        <v>0.1</v>
      </c>
      <c r="K739" s="12" t="s">
        <v>667</v>
      </c>
      <c r="L739" s="12" t="s">
        <v>664</v>
      </c>
      <c r="M739" s="129">
        <v>0.1</v>
      </c>
      <c r="N739" s="142">
        <f t="shared" si="80"/>
        <v>184.06080000000006</v>
      </c>
      <c r="O739" s="128">
        <f t="shared" si="81"/>
        <v>73.624320000000026</v>
      </c>
      <c r="P739" s="159">
        <f t="shared" si="82"/>
        <v>184.1</v>
      </c>
      <c r="Q739" s="160">
        <f t="shared" si="83"/>
        <v>73.599999999999994</v>
      </c>
    </row>
    <row r="740" spans="1:17" ht="69" thickTop="1" thickBot="1">
      <c r="A740" s="12" t="s">
        <v>689</v>
      </c>
      <c r="B740" s="167">
        <v>618.6</v>
      </c>
      <c r="C740" s="10" t="s">
        <v>673</v>
      </c>
      <c r="D740" s="10">
        <f>B740/2.5*0.1</f>
        <v>24.744</v>
      </c>
      <c r="E740" s="1">
        <v>0.35</v>
      </c>
      <c r="F740" s="95">
        <v>0.35</v>
      </c>
      <c r="G740" s="109">
        <f t="shared" si="78"/>
        <v>0.1</v>
      </c>
      <c r="H740" s="109">
        <v>0.1</v>
      </c>
      <c r="I740" s="109">
        <v>0.35</v>
      </c>
      <c r="J740" s="113">
        <f t="shared" si="79"/>
        <v>0.1</v>
      </c>
      <c r="K740" s="12" t="s">
        <v>667</v>
      </c>
      <c r="L740" s="12" t="s">
        <v>668</v>
      </c>
      <c r="M740" s="129">
        <v>0.1</v>
      </c>
      <c r="N740" s="142">
        <f t="shared" si="80"/>
        <v>266.74032000000005</v>
      </c>
      <c r="O740" s="128">
        <f t="shared" si="81"/>
        <v>76.211520000000021</v>
      </c>
      <c r="P740" s="159">
        <f t="shared" si="82"/>
        <v>266.7</v>
      </c>
      <c r="Q740" s="160">
        <f t="shared" si="83"/>
        <v>76.2</v>
      </c>
    </row>
    <row r="741" spans="1:17" ht="69" thickTop="1" thickBot="1">
      <c r="A741" s="12" t="s">
        <v>690</v>
      </c>
      <c r="B741" s="166">
        <v>1342.7</v>
      </c>
      <c r="C741" s="10" t="s">
        <v>673</v>
      </c>
      <c r="D741" s="10">
        <f>B741/30/0.3*0.1</f>
        <v>14.91888888888889</v>
      </c>
      <c r="E741" s="1">
        <v>0.35</v>
      </c>
      <c r="F741" s="95">
        <v>0.35</v>
      </c>
      <c r="G741" s="109">
        <f t="shared" si="78"/>
        <v>0.1</v>
      </c>
      <c r="H741" s="109">
        <v>0.1</v>
      </c>
      <c r="I741" s="109">
        <v>0.35</v>
      </c>
      <c r="J741" s="113">
        <f t="shared" si="79"/>
        <v>0.1</v>
      </c>
      <c r="K741" s="12" t="s">
        <v>667</v>
      </c>
      <c r="L741" s="12" t="s">
        <v>668</v>
      </c>
      <c r="M741" s="129">
        <v>0.1</v>
      </c>
      <c r="N741" s="142">
        <f t="shared" si="80"/>
        <v>578.97224000000017</v>
      </c>
      <c r="O741" s="128">
        <f t="shared" si="81"/>
        <v>165.42064000000002</v>
      </c>
      <c r="P741" s="159">
        <f t="shared" si="82"/>
        <v>579</v>
      </c>
      <c r="Q741" s="160">
        <f t="shared" si="83"/>
        <v>165.4</v>
      </c>
    </row>
    <row r="742" spans="1:17" ht="69" thickTop="1" thickBot="1">
      <c r="A742" s="12" t="s">
        <v>690</v>
      </c>
      <c r="B742" s="167">
        <v>1473</v>
      </c>
      <c r="C742" s="27" t="s">
        <v>673</v>
      </c>
      <c r="D742" s="27">
        <f>B742/3*0.1</f>
        <v>49.1</v>
      </c>
      <c r="E742" s="8">
        <v>0.35</v>
      </c>
      <c r="F742" s="107">
        <v>0.35</v>
      </c>
      <c r="G742" s="109">
        <f t="shared" si="78"/>
        <v>0.1</v>
      </c>
      <c r="H742" s="109">
        <v>0.1</v>
      </c>
      <c r="I742" s="109">
        <v>0.35</v>
      </c>
      <c r="J742" s="113">
        <f t="shared" si="79"/>
        <v>0.1</v>
      </c>
      <c r="K742" s="12" t="s">
        <v>667</v>
      </c>
      <c r="L742" s="12" t="s">
        <v>668</v>
      </c>
      <c r="M742" s="129">
        <v>0.1</v>
      </c>
      <c r="N742" s="142">
        <f t="shared" si="80"/>
        <v>635.15760000000012</v>
      </c>
      <c r="O742" s="128">
        <f t="shared" si="81"/>
        <v>181.47360000000003</v>
      </c>
      <c r="P742" s="159">
        <f t="shared" si="82"/>
        <v>635.20000000000005</v>
      </c>
      <c r="Q742" s="160">
        <f t="shared" si="83"/>
        <v>181.5</v>
      </c>
    </row>
    <row r="743" spans="1:17" ht="24" thickTop="1" thickBot="1">
      <c r="A743" s="12" t="s">
        <v>691</v>
      </c>
      <c r="B743" s="166">
        <v>246.1</v>
      </c>
      <c r="C743" s="10" t="s">
        <v>15</v>
      </c>
      <c r="D743" s="10" t="s">
        <v>15</v>
      </c>
      <c r="E743" s="11">
        <v>0.55000000000000004</v>
      </c>
      <c r="F743" s="27">
        <v>0.55000000000000004</v>
      </c>
      <c r="G743" s="109">
        <f t="shared" si="78"/>
        <v>0.15000000000000002</v>
      </c>
      <c r="H743" s="109">
        <v>0.15000000000000002</v>
      </c>
      <c r="I743" s="109">
        <v>0.55000000000000004</v>
      </c>
      <c r="J743" s="113">
        <f t="shared" si="79"/>
        <v>0.15000000000000002</v>
      </c>
      <c r="K743" s="12"/>
      <c r="L743" s="12"/>
      <c r="M743" s="129">
        <v>0.15000000000000002</v>
      </c>
      <c r="N743" s="142">
        <f t="shared" si="80"/>
        <v>166.75736000000003</v>
      </c>
      <c r="O743" s="128">
        <f t="shared" si="81"/>
        <v>45.479280000000017</v>
      </c>
      <c r="P743" s="159">
        <f t="shared" si="82"/>
        <v>166.8</v>
      </c>
      <c r="Q743" s="160">
        <f t="shared" si="83"/>
        <v>45.5</v>
      </c>
    </row>
    <row r="744" spans="1:17" thickTop="1" thickBot="1">
      <c r="E744" s="123"/>
      <c r="J744" s="120"/>
      <c r="N744" s="143"/>
    </row>
    <row r="745" spans="1:17" thickTop="1" thickBot="1">
      <c r="E745" s="124"/>
      <c r="J745" s="122"/>
      <c r="N745" s="143"/>
    </row>
    <row r="746" spans="1:17" thickTop="1" thickBot="1">
      <c r="E746" s="124"/>
      <c r="J746" s="122"/>
      <c r="N746" s="143"/>
    </row>
    <row r="747" spans="1:17" thickTop="1" thickBot="1">
      <c r="E747" s="124"/>
      <c r="J747" s="122"/>
      <c r="N747" s="143"/>
    </row>
    <row r="748" spans="1:17" thickTop="1" thickBot="1">
      <c r="E748" s="124"/>
      <c r="J748" s="122"/>
      <c r="N748" s="144"/>
    </row>
    <row r="749" spans="1:17" thickTop="1" thickBot="1">
      <c r="E749" s="124"/>
      <c r="J749" s="122"/>
      <c r="N749" s="145"/>
    </row>
    <row r="750" spans="1:17" thickTop="1" thickBot="1">
      <c r="E750" s="124"/>
      <c r="J750" s="125"/>
      <c r="N750" s="146"/>
    </row>
    <row r="751" spans="1:17" thickTop="1" thickBot="1">
      <c r="E751" s="124"/>
      <c r="J751" s="125"/>
      <c r="N751" s="146"/>
    </row>
    <row r="752" spans="1:17" thickTop="1" thickBot="1">
      <c r="E752" s="124"/>
      <c r="J752" s="125"/>
      <c r="N752" s="146"/>
    </row>
    <row r="753" spans="5:14" thickTop="1" thickBot="1">
      <c r="E753" s="124"/>
      <c r="J753" s="125"/>
      <c r="N753" s="146"/>
    </row>
    <row r="754" spans="5:14" thickTop="1" thickBot="1">
      <c r="E754" s="124"/>
      <c r="J754" s="125"/>
      <c r="N754" s="146"/>
    </row>
    <row r="755" spans="5:14" thickTop="1" thickBot="1">
      <c r="E755" s="124"/>
      <c r="J755" s="125"/>
      <c r="N755" s="146"/>
    </row>
    <row r="756" spans="5:14" thickTop="1" thickBot="1">
      <c r="E756" s="124"/>
      <c r="J756" s="125"/>
      <c r="N756" s="146"/>
    </row>
    <row r="757" spans="5:14" thickTop="1" thickBot="1">
      <c r="E757" s="124"/>
      <c r="J757" s="125"/>
      <c r="N757" s="146"/>
    </row>
    <row r="758" spans="5:14" thickTop="1" thickBot="1">
      <c r="E758" s="124"/>
      <c r="J758" s="125"/>
      <c r="N758" s="146"/>
    </row>
    <row r="759" spans="5:14" thickTop="1" thickBot="1">
      <c r="E759" s="124"/>
      <c r="J759" s="125"/>
      <c r="N759" s="146"/>
    </row>
    <row r="760" spans="5:14" thickTop="1" thickBot="1">
      <c r="E760" s="124"/>
      <c r="J760" s="125"/>
      <c r="N760" s="147"/>
    </row>
    <row r="761" spans="5:14" thickTop="1" thickBot="1">
      <c r="E761" s="124"/>
      <c r="J761" s="118"/>
    </row>
    <row r="762" spans="5:14" thickTop="1" thickBot="1">
      <c r="E762" s="124"/>
      <c r="J762" s="115"/>
    </row>
    <row r="763" spans="5:14" thickTop="1" thickBot="1">
      <c r="E763" s="124"/>
      <c r="J763" s="115"/>
    </row>
    <row r="764" spans="5:14" thickTop="1" thickBot="1">
      <c r="E764" s="124"/>
      <c r="J764" s="115"/>
    </row>
    <row r="765" spans="5:14" thickTop="1" thickBot="1">
      <c r="E765" s="124"/>
      <c r="J765" s="115"/>
    </row>
    <row r="766" spans="5:14" thickTop="1" thickBot="1">
      <c r="E766" s="124"/>
      <c r="J766" s="115"/>
    </row>
    <row r="767" spans="5:14" thickTop="1" thickBot="1">
      <c r="E767" s="124"/>
      <c r="J767" s="115"/>
    </row>
    <row r="768" spans="5:14" thickTop="1" thickBot="1">
      <c r="E768" s="124"/>
      <c r="J768" s="115"/>
    </row>
    <row r="769" spans="5:14" thickTop="1" thickBot="1">
      <c r="E769" s="124"/>
      <c r="J769" s="115"/>
    </row>
    <row r="770" spans="5:14" thickTop="1" thickBot="1">
      <c r="E770" s="124"/>
      <c r="J770" s="115"/>
    </row>
    <row r="771" spans="5:14" thickTop="1" thickBot="1">
      <c r="E771" s="124"/>
      <c r="J771" s="115"/>
    </row>
    <row r="772" spans="5:14" thickTop="1" thickBot="1">
      <c r="E772" s="124"/>
      <c r="J772" s="115"/>
    </row>
    <row r="773" spans="5:14" thickTop="1" thickBot="1">
      <c r="E773" s="124"/>
      <c r="J773" s="115"/>
    </row>
    <row r="774" spans="5:14" thickTop="1" thickBot="1">
      <c r="E774" s="124"/>
      <c r="J774" s="115"/>
    </row>
    <row r="775" spans="5:14" thickTop="1" thickBot="1">
      <c r="E775" s="124"/>
      <c r="J775" s="115"/>
    </row>
    <row r="776" spans="5:14" thickTop="1" thickBot="1">
      <c r="E776" s="124"/>
      <c r="J776" s="117"/>
    </row>
    <row r="777" spans="5:14" thickTop="1" thickBot="1">
      <c r="E777" s="124"/>
      <c r="J777" s="122"/>
      <c r="N777" s="148"/>
    </row>
    <row r="778" spans="5:14" thickTop="1" thickBot="1">
      <c r="J778" s="121"/>
      <c r="N778" s="146"/>
    </row>
    <row r="779" spans="5:14" thickTop="1" thickBot="1">
      <c r="J779" s="119"/>
      <c r="N779" s="146"/>
    </row>
    <row r="780" spans="5:14" thickTop="1" thickBot="1">
      <c r="J780" s="119"/>
      <c r="N780" s="146"/>
    </row>
    <row r="781" spans="5:14" thickTop="1" thickBot="1">
      <c r="J781" s="119"/>
      <c r="N781" s="146"/>
    </row>
    <row r="782" spans="5:14" thickTop="1" thickBot="1">
      <c r="J782" s="120"/>
      <c r="N782" s="147"/>
    </row>
    <row r="783" spans="5:14" thickTop="1" thickBot="1">
      <c r="J783" s="118"/>
    </row>
    <row r="784" spans="5:14" thickTop="1" thickBot="1">
      <c r="J784" s="115"/>
    </row>
    <row r="785" spans="10:10" thickTop="1" thickBot="1">
      <c r="J785" s="115"/>
    </row>
    <row r="786" spans="10:10" thickTop="1" thickBot="1">
      <c r="J786" s="115"/>
    </row>
    <row r="787" spans="10:10" thickTop="1" thickBot="1">
      <c r="J787" s="115"/>
    </row>
    <row r="788" spans="10:10" thickTop="1" thickBot="1">
      <c r="J788" s="115"/>
    </row>
    <row r="789" spans="10:10" thickTop="1" thickBot="1">
      <c r="J789" s="115"/>
    </row>
    <row r="790" spans="10:10" thickTop="1" thickBot="1">
      <c r="J790" s="115"/>
    </row>
    <row r="791" spans="10:10" thickTop="1" thickBot="1">
      <c r="J791" s="115"/>
    </row>
    <row r="792" spans="10:10" thickTop="1" thickBot="1">
      <c r="J792" s="115"/>
    </row>
    <row r="793" spans="10:10" thickTop="1" thickBot="1">
      <c r="J793" s="115"/>
    </row>
    <row r="794" spans="10:10" thickTop="1" thickBot="1">
      <c r="J794" s="115"/>
    </row>
    <row r="795" spans="10:10" thickTop="1" thickBot="1">
      <c r="J795" s="115"/>
    </row>
    <row r="796" spans="10:10" thickTop="1" thickBot="1">
      <c r="J796" s="115"/>
    </row>
    <row r="797" spans="10:10" thickTop="1" thickBot="1">
      <c r="J797" s="115"/>
    </row>
    <row r="798" spans="10:10" thickTop="1" thickBot="1">
      <c r="J798" s="115"/>
    </row>
    <row r="799" spans="10:10" thickTop="1" thickBot="1">
      <c r="J799" s="115"/>
    </row>
    <row r="800" spans="10:10" thickTop="1" thickBot="1">
      <c r="J800" s="115"/>
    </row>
    <row r="801" spans="10:10" thickTop="1" thickBot="1">
      <c r="J801" s="116"/>
    </row>
    <row r="802" spans="10:10" thickTop="1" thickBot="1">
      <c r="J802" s="116"/>
    </row>
    <row r="803" spans="10:10" thickTop="1" thickBot="1">
      <c r="J803" s="116"/>
    </row>
  </sheetData>
  <autoFilter ref="A1:L743"/>
  <pageMargins left="0.7" right="0.7" top="0.75" bottom="0.75" header="0.3" footer="0.3"/>
  <pageSetup paperSize="9" scale="93" fitToHeight="0" orientation="landscape" r:id="rId1"/>
  <headerFooter>
    <oddHeader>&amp;L&amp;"Arial,Bold"Lista A1.&amp;"Arial,Regular" Lekovi koji se propisuju i izdaju na obrascu lekarskog recepta, a koji imaju terapijsku paralelu (terapijsku alternativu) lekovima u Listi A</oddHeader>
    <oddFooter>&amp;R&amp;"Arial,Regular"Strana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M</cp:lastModifiedBy>
  <cp:lastPrinted>2026-06-17T14:22:21Z</cp:lastPrinted>
  <dcterms:created xsi:type="dcterms:W3CDTF">2024-10-25T10:00:40Z</dcterms:created>
  <dcterms:modified xsi:type="dcterms:W3CDTF">2026-08-03T11:02:00Z</dcterms:modified>
</cp:coreProperties>
</file>